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 activeTab="6"/>
  </bookViews>
  <sheets>
    <sheet name="Anlæg" sheetId="1" r:id="rId1"/>
    <sheet name="Finansieringsbehov" sheetId="2" r:id="rId2"/>
    <sheet name="Scenarie 1" sheetId="5" r:id="rId3"/>
    <sheet name="Scenarie 2" sheetId="6" r:id="rId4"/>
    <sheet name="Scenarie 3" sheetId="7" r:id="rId5"/>
    <sheet name="Scenarie 4" sheetId="9" r:id="rId6"/>
    <sheet name="Scenarie 5" sheetId="8" r:id="rId7"/>
  </sheets>
  <calcPr calcId="125725"/>
</workbook>
</file>

<file path=xl/calcChain.xml><?xml version="1.0" encoding="utf-8"?>
<calcChain xmlns="http://schemas.openxmlformats.org/spreadsheetml/2006/main">
  <c r="H18" i="9"/>
  <c r="F14" i="2"/>
  <c r="F18"/>
  <c r="B3" i="7"/>
  <c r="H34" s="1"/>
  <c r="H36" s="1"/>
  <c r="I2" i="2"/>
  <c r="F2"/>
  <c r="I7"/>
  <c r="I11"/>
  <c r="I18"/>
  <c r="B3" i="9"/>
  <c r="B13" s="1"/>
  <c r="I4" i="2"/>
  <c r="F4"/>
  <c r="F7"/>
  <c r="F11"/>
  <c r="E8" i="9"/>
  <c r="H16"/>
  <c r="H17"/>
  <c r="H21"/>
  <c r="H30"/>
  <c r="H32"/>
  <c r="G8"/>
  <c r="H8"/>
  <c r="I8" s="1"/>
  <c r="J8" s="1"/>
  <c r="H18" i="7"/>
  <c r="C4" i="2"/>
  <c r="C7"/>
  <c r="C11"/>
  <c r="C14"/>
  <c r="C18"/>
  <c r="B3" i="5"/>
  <c r="B13" s="1"/>
  <c r="E8"/>
  <c r="H8" s="1"/>
  <c r="L4" i="2"/>
  <c r="L7"/>
  <c r="L11"/>
  <c r="L18"/>
  <c r="H17" i="6"/>
  <c r="H30" i="7"/>
  <c r="H30" i="8"/>
  <c r="H30" i="6"/>
  <c r="H30" i="5"/>
  <c r="B3" i="8"/>
  <c r="H16"/>
  <c r="H21"/>
  <c r="H17" i="7"/>
  <c r="H16"/>
  <c r="H18" i="6"/>
  <c r="H16"/>
  <c r="H18" i="5"/>
  <c r="H17"/>
  <c r="H16"/>
  <c r="H21"/>
  <c r="H32"/>
  <c r="G8"/>
  <c r="H32" i="8"/>
  <c r="G8"/>
  <c r="H21" i="7"/>
  <c r="H32"/>
  <c r="G8"/>
  <c r="H21" i="6"/>
  <c r="H32"/>
  <c r="G8"/>
  <c r="C7" i="1"/>
  <c r="F7"/>
  <c r="G7" s="1"/>
  <c r="C3"/>
  <c r="F9"/>
  <c r="B3" i="6"/>
  <c r="H34" s="1"/>
  <c r="C8" i="1"/>
  <c r="F8"/>
  <c r="E8" i="8"/>
  <c r="H34" i="5"/>
  <c r="H36" s="1"/>
  <c r="H38"/>
  <c r="E8" i="6"/>
  <c r="D13" s="1"/>
  <c r="H36"/>
  <c r="B13"/>
  <c r="H38" i="7"/>
  <c r="E8"/>
  <c r="C13" i="6"/>
  <c r="E9" i="5"/>
  <c r="I8"/>
  <c r="J8" s="1"/>
  <c r="E9" i="6"/>
  <c r="G8" i="1"/>
  <c r="H8" s="1"/>
  <c r="C9"/>
  <c r="C11" s="1"/>
  <c r="H7"/>
  <c r="H38" i="6" l="1"/>
  <c r="H40" s="1"/>
  <c r="C13" i="5"/>
  <c r="C13" i="9"/>
  <c r="E13" i="6"/>
  <c r="B14" s="1"/>
  <c r="H40" i="5"/>
  <c r="H8" i="7"/>
  <c r="I8" s="1"/>
  <c r="J8" s="1"/>
  <c r="E9"/>
  <c r="H8" i="8"/>
  <c r="I8" s="1"/>
  <c r="J8" s="1"/>
  <c r="E9"/>
  <c r="H34"/>
  <c r="H36" s="1"/>
  <c r="B13"/>
  <c r="D13" i="9"/>
  <c r="E13" s="1"/>
  <c r="B14" s="1"/>
  <c r="H40" i="7"/>
  <c r="H8" i="6"/>
  <c r="I8" s="1"/>
  <c r="J8" s="1"/>
  <c r="D13" i="5"/>
  <c r="E13" s="1"/>
  <c r="B14" s="1"/>
  <c r="H34" i="9"/>
  <c r="H36" s="1"/>
  <c r="B13" i="7"/>
  <c r="E9" i="9"/>
  <c r="C14" i="5" l="1"/>
  <c r="D14" s="1"/>
  <c r="E14" s="1"/>
  <c r="B15" s="1"/>
  <c r="E14" i="9"/>
  <c r="B15" s="1"/>
  <c r="C14"/>
  <c r="D14" s="1"/>
  <c r="H38"/>
  <c r="H40"/>
  <c r="C13" i="8"/>
  <c r="C13" i="7"/>
  <c r="C14" i="6"/>
  <c r="H38" i="8"/>
  <c r="H40" s="1"/>
  <c r="C15" i="5" l="1"/>
  <c r="D15" s="1"/>
  <c r="E15" s="1"/>
  <c r="B16" s="1"/>
  <c r="D13" i="7"/>
  <c r="E13" s="1"/>
  <c r="B14" s="1"/>
  <c r="C15" i="9"/>
  <c r="D14" i="6"/>
  <c r="E14" s="1"/>
  <c r="B15" s="1"/>
  <c r="D13" i="8"/>
  <c r="E13" s="1"/>
  <c r="B14" s="1"/>
  <c r="C16" i="5" l="1"/>
  <c r="D16" s="1"/>
  <c r="E16" s="1"/>
  <c r="B17" s="1"/>
  <c r="D15" i="9"/>
  <c r="E15" s="1"/>
  <c r="B16" s="1"/>
  <c r="C14" i="8"/>
  <c r="C15" i="6"/>
  <c r="C14" i="7"/>
  <c r="C17" i="5" l="1"/>
  <c r="D14" i="8"/>
  <c r="E14" s="1"/>
  <c r="B15" s="1"/>
  <c r="C16" i="9"/>
  <c r="D14" i="7"/>
  <c r="E14" s="1"/>
  <c r="B15" s="1"/>
  <c r="D15" i="6"/>
  <c r="E15" s="1"/>
  <c r="B16" s="1"/>
  <c r="C16" l="1"/>
  <c r="D16" i="9"/>
  <c r="E16" s="1"/>
  <c r="B17" s="1"/>
  <c r="C15" i="8"/>
  <c r="D17" i="5"/>
  <c r="E17" s="1"/>
  <c r="B18" s="1"/>
  <c r="C15" i="7"/>
  <c r="C17" i="9" l="1"/>
  <c r="E18" i="5"/>
  <c r="B19" s="1"/>
  <c r="C18"/>
  <c r="D18" s="1"/>
  <c r="D15" i="7"/>
  <c r="E15" s="1"/>
  <c r="B16" s="1"/>
  <c r="D15" i="8"/>
  <c r="E15" s="1"/>
  <c r="B16" s="1"/>
  <c r="D16" i="6"/>
  <c r="E16" s="1"/>
  <c r="B17" s="1"/>
  <c r="C16" i="7" l="1"/>
  <c r="D17" i="9"/>
  <c r="E17" s="1"/>
  <c r="B18" s="1"/>
  <c r="C16" i="8"/>
  <c r="C19" i="5"/>
  <c r="D19" s="1"/>
  <c r="E19" s="1"/>
  <c r="B20" s="1"/>
  <c r="C17" i="6"/>
  <c r="C20" i="5" l="1"/>
  <c r="D20" s="1"/>
  <c r="E20" s="1"/>
  <c r="B21" s="1"/>
  <c r="D16" i="8"/>
  <c r="E16" s="1"/>
  <c r="B17" s="1"/>
  <c r="D16" i="7"/>
  <c r="E16" s="1"/>
  <c r="B17" s="1"/>
  <c r="D17" i="6"/>
  <c r="E17" s="1"/>
  <c r="B18" s="1"/>
  <c r="C18" i="9"/>
  <c r="D18" s="1"/>
  <c r="E18" s="1"/>
  <c r="B19" s="1"/>
  <c r="C21" i="5" l="1"/>
  <c r="D21" s="1"/>
  <c r="E21" s="1"/>
  <c r="B22" s="1"/>
  <c r="C19" i="9"/>
  <c r="D19" s="1"/>
  <c r="E19" s="1"/>
  <c r="B20" s="1"/>
  <c r="C17" i="7"/>
  <c r="C18" i="6"/>
  <c r="C17" i="8"/>
  <c r="C22" i="5" l="1"/>
  <c r="D22" s="1"/>
  <c r="E22" s="1"/>
  <c r="B23" s="1"/>
  <c r="E20" i="9"/>
  <c r="B21" s="1"/>
  <c r="C20"/>
  <c r="D20" s="1"/>
  <c r="D17" i="8"/>
  <c r="E17" s="1"/>
  <c r="B18" s="1"/>
  <c r="D17" i="7"/>
  <c r="E17" s="1"/>
  <c r="B18" s="1"/>
  <c r="D18" i="6"/>
  <c r="E18" s="1"/>
  <c r="B19" s="1"/>
  <c r="C23" i="5" l="1"/>
  <c r="D23" s="1"/>
  <c r="E23" s="1"/>
  <c r="B24" s="1"/>
  <c r="E18" i="7"/>
  <c r="B19" s="1"/>
  <c r="C18"/>
  <c r="D18" s="1"/>
  <c r="E19" i="6"/>
  <c r="B20" s="1"/>
  <c r="C19"/>
  <c r="D19" s="1"/>
  <c r="E18" i="8"/>
  <c r="B19" s="1"/>
  <c r="C18"/>
  <c r="D18" s="1"/>
  <c r="E21" i="9"/>
  <c r="B22" s="1"/>
  <c r="C21"/>
  <c r="D21" s="1"/>
  <c r="E24" i="5" l="1"/>
  <c r="B25" s="1"/>
  <c r="C24"/>
  <c r="D24" s="1"/>
  <c r="E22" i="9"/>
  <c r="B23" s="1"/>
  <c r="C22"/>
  <c r="D22" s="1"/>
  <c r="E19" i="8"/>
  <c r="B20" s="1"/>
  <c r="C19"/>
  <c r="D19" s="1"/>
  <c r="E20" i="6"/>
  <c r="B21" s="1"/>
  <c r="C20"/>
  <c r="D20" s="1"/>
  <c r="C19" i="7"/>
  <c r="D19" s="1"/>
  <c r="E19" s="1"/>
  <c r="B20" s="1"/>
  <c r="C20" l="1"/>
  <c r="D20" s="1"/>
  <c r="E20" s="1"/>
  <c r="B21" s="1"/>
  <c r="E25" i="5"/>
  <c r="B26" s="1"/>
  <c r="C25"/>
  <c r="D25" s="1"/>
  <c r="C20" i="8"/>
  <c r="D20" s="1"/>
  <c r="E20" s="1"/>
  <c r="B21" s="1"/>
  <c r="E23" i="9"/>
  <c r="B24" s="1"/>
  <c r="C23"/>
  <c r="D23" s="1"/>
  <c r="C21" i="6"/>
  <c r="D21" s="1"/>
  <c r="E21" s="1"/>
  <c r="B22" s="1"/>
  <c r="E21" i="7" l="1"/>
  <c r="B22" s="1"/>
  <c r="C21"/>
  <c r="D21" s="1"/>
  <c r="E22" i="6"/>
  <c r="B23" s="1"/>
  <c r="C22"/>
  <c r="D22" s="1"/>
  <c r="E21" i="8"/>
  <c r="B22" s="1"/>
  <c r="C21"/>
  <c r="D21" s="1"/>
  <c r="E26" i="5"/>
  <c r="B27" s="1"/>
  <c r="C26"/>
  <c r="D26" s="1"/>
  <c r="E24" i="9"/>
  <c r="B25" s="1"/>
  <c r="C24"/>
  <c r="D24" s="1"/>
  <c r="E25" l="1"/>
  <c r="B26" s="1"/>
  <c r="C25"/>
  <c r="D25" s="1"/>
  <c r="C22" i="8"/>
  <c r="D22" s="1"/>
  <c r="E22" s="1"/>
  <c r="B23" s="1"/>
  <c r="E22" i="7"/>
  <c r="B23" s="1"/>
  <c r="C22"/>
  <c r="D22" s="1"/>
  <c r="C27" i="5"/>
  <c r="D27" s="1"/>
  <c r="E27" s="1"/>
  <c r="B28" s="1"/>
  <c r="E23" i="6"/>
  <c r="B24" s="1"/>
  <c r="C23"/>
  <c r="D23" s="1"/>
  <c r="C28" i="5" l="1"/>
  <c r="D28" s="1"/>
  <c r="E28" s="1"/>
  <c r="B29" s="1"/>
  <c r="E23" i="8"/>
  <c r="B24" s="1"/>
  <c r="C23"/>
  <c r="D23" s="1"/>
  <c r="C24" i="6"/>
  <c r="D24" s="1"/>
  <c r="E24" s="1"/>
  <c r="B25" s="1"/>
  <c r="E23" i="7"/>
  <c r="B24" s="1"/>
  <c r="C23"/>
  <c r="D23" s="1"/>
  <c r="C26" i="9"/>
  <c r="D26" s="1"/>
  <c r="E26" s="1"/>
  <c r="B27" s="1"/>
  <c r="C29" i="5" l="1"/>
  <c r="D29" s="1"/>
  <c r="E29" s="1"/>
  <c r="B30" s="1"/>
  <c r="C27" i="9"/>
  <c r="D27" s="1"/>
  <c r="E27" s="1"/>
  <c r="B28" s="1"/>
  <c r="C25" i="6"/>
  <c r="D25" s="1"/>
  <c r="E25" s="1"/>
  <c r="B26" s="1"/>
  <c r="C24" i="8"/>
  <c r="D24" s="1"/>
  <c r="E24" s="1"/>
  <c r="B25" s="1"/>
  <c r="C24" i="7"/>
  <c r="D24" s="1"/>
  <c r="E24" s="1"/>
  <c r="B25" s="1"/>
  <c r="C30" i="5" l="1"/>
  <c r="D30" s="1"/>
  <c r="E30" s="1"/>
  <c r="B31" s="1"/>
  <c r="C25" i="7"/>
  <c r="D25" s="1"/>
  <c r="E25" s="1"/>
  <c r="B26" s="1"/>
  <c r="C26" i="6"/>
  <c r="D26" s="1"/>
  <c r="E26" s="1"/>
  <c r="B27" s="1"/>
  <c r="C28" i="9"/>
  <c r="D28" s="1"/>
  <c r="E28" s="1"/>
  <c r="B29" s="1"/>
  <c r="E25" i="8"/>
  <c r="B26" s="1"/>
  <c r="C25"/>
  <c r="D25" s="1"/>
  <c r="C31" i="5" l="1"/>
  <c r="D31" s="1"/>
  <c r="E31" s="1"/>
  <c r="B32" s="1"/>
  <c r="C27" i="6"/>
  <c r="D27" s="1"/>
  <c r="E27" s="1"/>
  <c r="B28" s="1"/>
  <c r="E26" i="7"/>
  <c r="B27" s="1"/>
  <c r="C26"/>
  <c r="D26" s="1"/>
  <c r="C29" i="9"/>
  <c r="D29" s="1"/>
  <c r="E29" s="1"/>
  <c r="B30" s="1"/>
  <c r="E26" i="8"/>
  <c r="B27" s="1"/>
  <c r="C26"/>
  <c r="D26" s="1"/>
  <c r="C30" i="9" l="1"/>
  <c r="D30" s="1"/>
  <c r="E30" s="1"/>
  <c r="B31" s="1"/>
  <c r="E32" i="5"/>
  <c r="B33" s="1"/>
  <c r="C32"/>
  <c r="D32" s="1"/>
  <c r="C28" i="6"/>
  <c r="D28" s="1"/>
  <c r="E28" s="1"/>
  <c r="B29" s="1"/>
  <c r="E27" i="7"/>
  <c r="B28" s="1"/>
  <c r="C27"/>
  <c r="D27" s="1"/>
  <c r="C27" i="8"/>
  <c r="D27" s="1"/>
  <c r="E27" s="1"/>
  <c r="B28" s="1"/>
  <c r="C31" i="9" l="1"/>
  <c r="D31" s="1"/>
  <c r="E31" s="1"/>
  <c r="B32" s="1"/>
  <c r="C28" i="8"/>
  <c r="D28" s="1"/>
  <c r="E28" s="1"/>
  <c r="B29" s="1"/>
  <c r="C29" i="6"/>
  <c r="D29" s="1"/>
  <c r="E29" s="1"/>
  <c r="B30" s="1"/>
  <c r="C28" i="7"/>
  <c r="D28" s="1"/>
  <c r="E28" s="1"/>
  <c r="B29" s="1"/>
  <c r="E33" i="5"/>
  <c r="B34" s="1"/>
  <c r="C33"/>
  <c r="D33" s="1"/>
  <c r="C32" i="9" l="1"/>
  <c r="D32" s="1"/>
  <c r="E32" s="1"/>
  <c r="B33" s="1"/>
  <c r="C30" i="6"/>
  <c r="D30" s="1"/>
  <c r="E30" s="1"/>
  <c r="B31" s="1"/>
  <c r="C29" i="8"/>
  <c r="D29" s="1"/>
  <c r="E29" s="1"/>
  <c r="B30" s="1"/>
  <c r="C29" i="7"/>
  <c r="D29" s="1"/>
  <c r="E29" s="1"/>
  <c r="B30" s="1"/>
  <c r="C34" i="5"/>
  <c r="D34" s="1"/>
  <c r="E34" s="1"/>
  <c r="B35" s="1"/>
  <c r="C35" l="1"/>
  <c r="D35" s="1"/>
  <c r="E35" s="1"/>
  <c r="B36" s="1"/>
  <c r="E33" i="9"/>
  <c r="B34" s="1"/>
  <c r="C33"/>
  <c r="D33" s="1"/>
  <c r="C31" i="6"/>
  <c r="D31" s="1"/>
  <c r="E31" s="1"/>
  <c r="B32" s="1"/>
  <c r="E30" i="8"/>
  <c r="B31" s="1"/>
  <c r="C30"/>
  <c r="D30" s="1"/>
  <c r="C30" i="7"/>
  <c r="D30" s="1"/>
  <c r="E30" s="1"/>
  <c r="B31" s="1"/>
  <c r="C36" i="5" l="1"/>
  <c r="D36" s="1"/>
  <c r="E36" s="1"/>
  <c r="B37" s="1"/>
  <c r="E31" i="7"/>
  <c r="B32" s="1"/>
  <c r="C31"/>
  <c r="D31" s="1"/>
  <c r="C32" i="6"/>
  <c r="D32" s="1"/>
  <c r="E32" s="1"/>
  <c r="B33" s="1"/>
  <c r="E34" i="9"/>
  <c r="B35" s="1"/>
  <c r="C34"/>
  <c r="D34" s="1"/>
  <c r="C31" i="8"/>
  <c r="D31" s="1"/>
  <c r="E31" s="1"/>
  <c r="B32" s="1"/>
  <c r="C32" l="1"/>
  <c r="D32" s="1"/>
  <c r="E32" s="1"/>
  <c r="B33" s="1"/>
  <c r="E37" i="5"/>
  <c r="B38" s="1"/>
  <c r="C37"/>
  <c r="D37" s="1"/>
  <c r="C33" i="6"/>
  <c r="D33" s="1"/>
  <c r="E33" s="1"/>
  <c r="B34" s="1"/>
  <c r="E35" i="9"/>
  <c r="B36" s="1"/>
  <c r="C35"/>
  <c r="D35" s="1"/>
  <c r="C32" i="7"/>
  <c r="D32" s="1"/>
  <c r="E32" s="1"/>
  <c r="B33" s="1"/>
  <c r="C33" i="8" l="1"/>
  <c r="D33" s="1"/>
  <c r="E33" s="1"/>
  <c r="B34" s="1"/>
  <c r="E33" i="7"/>
  <c r="B34" s="1"/>
  <c r="C33"/>
  <c r="D33" s="1"/>
  <c r="E34" i="6"/>
  <c r="B35" s="1"/>
  <c r="C34"/>
  <c r="D34" s="1"/>
  <c r="E38" i="5"/>
  <c r="B39" s="1"/>
  <c r="C38"/>
  <c r="D38" s="1"/>
  <c r="E36" i="9"/>
  <c r="B37" s="1"/>
  <c r="C36"/>
  <c r="D36" s="1"/>
  <c r="E34" i="8" l="1"/>
  <c r="B35" s="1"/>
  <c r="C34"/>
  <c r="D34" s="1"/>
  <c r="E35" i="6"/>
  <c r="B36" s="1"/>
  <c r="C35"/>
  <c r="D35" s="1"/>
  <c r="E37" i="9"/>
  <c r="B38" s="1"/>
  <c r="C37"/>
  <c r="D37" s="1"/>
  <c r="E34" i="7"/>
  <c r="B35" s="1"/>
  <c r="C34"/>
  <c r="D34" s="1"/>
  <c r="E39" i="5"/>
  <c r="B40" s="1"/>
  <c r="C39"/>
  <c r="D39" s="1"/>
  <c r="C38" i="9" l="1"/>
  <c r="D38" s="1"/>
  <c r="E38" s="1"/>
  <c r="B39" s="1"/>
  <c r="E35" i="8"/>
  <c r="B36" s="1"/>
  <c r="C35"/>
  <c r="D35" s="1"/>
  <c r="C40" i="5"/>
  <c r="D40" s="1"/>
  <c r="E40" s="1"/>
  <c r="B41" s="1"/>
  <c r="E35" i="7"/>
  <c r="B36" s="1"/>
  <c r="C35"/>
  <c r="D35" s="1"/>
  <c r="E36" i="6"/>
  <c r="B37" s="1"/>
  <c r="C36"/>
  <c r="D36" s="1"/>
  <c r="C39" i="9" l="1"/>
  <c r="D39" s="1"/>
  <c r="E39" s="1"/>
  <c r="B40" s="1"/>
  <c r="C41" i="5"/>
  <c r="D41" s="1"/>
  <c r="E41" s="1"/>
  <c r="B42" s="1"/>
  <c r="E37" i="6"/>
  <c r="B38" s="1"/>
  <c r="C37"/>
  <c r="D37" s="1"/>
  <c r="C36" i="7"/>
  <c r="D36" s="1"/>
  <c r="E36" s="1"/>
  <c r="B37" s="1"/>
  <c r="C36" i="8"/>
  <c r="D36" s="1"/>
  <c r="E36" s="1"/>
  <c r="B37" s="1"/>
  <c r="C40" i="9" l="1"/>
  <c r="D40" s="1"/>
  <c r="E40" s="1"/>
  <c r="B41" s="1"/>
  <c r="E37" i="7"/>
  <c r="B38" s="1"/>
  <c r="C37"/>
  <c r="D37" s="1"/>
  <c r="E37" i="8"/>
  <c r="B38" s="1"/>
  <c r="C37"/>
  <c r="D37" s="1"/>
  <c r="C42" i="5"/>
  <c r="C38" i="6"/>
  <c r="D38" s="1"/>
  <c r="E38" s="1"/>
  <c r="B39" s="1"/>
  <c r="C41" i="9" l="1"/>
  <c r="D41" s="1"/>
  <c r="E41" s="1"/>
  <c r="B42" s="1"/>
  <c r="E39" i="6"/>
  <c r="B40" s="1"/>
  <c r="C39"/>
  <c r="D39" s="1"/>
  <c r="C38" i="8"/>
  <c r="D38" s="1"/>
  <c r="E38" s="1"/>
  <c r="B39" s="1"/>
  <c r="E38" i="7"/>
  <c r="B39" s="1"/>
  <c r="C38"/>
  <c r="D38" s="1"/>
  <c r="D42" i="5"/>
  <c r="E42" s="1"/>
  <c r="B43" s="1"/>
  <c r="E10"/>
  <c r="C42" i="9" l="1"/>
  <c r="E39" i="8"/>
  <c r="B40" s="1"/>
  <c r="C39"/>
  <c r="D39" s="1"/>
  <c r="C43" i="5"/>
  <c r="D43" s="1"/>
  <c r="E43" s="1"/>
  <c r="B44" s="1"/>
  <c r="E40" i="6"/>
  <c r="B41" s="1"/>
  <c r="C40"/>
  <c r="D40" s="1"/>
  <c r="C39" i="7"/>
  <c r="D39" s="1"/>
  <c r="E39" s="1"/>
  <c r="B40" s="1"/>
  <c r="C40" l="1"/>
  <c r="D40" s="1"/>
  <c r="E40" s="1"/>
  <c r="B41" s="1"/>
  <c r="E44" i="5"/>
  <c r="B45" s="1"/>
  <c r="C44"/>
  <c r="D44" s="1"/>
  <c r="D42" i="9"/>
  <c r="E42" s="1"/>
  <c r="E10"/>
  <c r="E40" i="8"/>
  <c r="B41" s="1"/>
  <c r="C40"/>
  <c r="D40" s="1"/>
  <c r="C41" i="6"/>
  <c r="D41" s="1"/>
  <c r="E41" s="1"/>
  <c r="B42" s="1"/>
  <c r="C41" i="7" l="1"/>
  <c r="D41" s="1"/>
  <c r="E41" s="1"/>
  <c r="B42" s="1"/>
  <c r="C42" i="6"/>
  <c r="C41" i="8"/>
  <c r="D41" s="1"/>
  <c r="E41" s="1"/>
  <c r="B42" s="1"/>
  <c r="E45" i="5"/>
  <c r="B46" s="1"/>
  <c r="C45"/>
  <c r="D45" s="1"/>
  <c r="C42" i="7" l="1"/>
  <c r="C42" i="8"/>
  <c r="E46" i="5"/>
  <c r="B47" s="1"/>
  <c r="C46"/>
  <c r="D46" s="1"/>
  <c r="D42" i="6"/>
  <c r="E42" s="1"/>
  <c r="E10"/>
  <c r="D42" i="7" l="1"/>
  <c r="E42" s="1"/>
  <c r="E10"/>
  <c r="D42" i="8"/>
  <c r="E42" s="1"/>
  <c r="E10"/>
  <c r="E47" i="5"/>
  <c r="B48" s="1"/>
  <c r="C47"/>
  <c r="D47" s="1"/>
  <c r="E48" l="1"/>
  <c r="B49" s="1"/>
  <c r="C48"/>
  <c r="D48" s="1"/>
  <c r="C49" l="1"/>
  <c r="D49" s="1"/>
  <c r="E49" s="1"/>
  <c r="B50" s="1"/>
  <c r="E50" l="1"/>
  <c r="B51" s="1"/>
  <c r="C50"/>
  <c r="D50" s="1"/>
  <c r="C51" l="1"/>
  <c r="D51" s="1"/>
  <c r="E51" s="1"/>
  <c r="B52" s="1"/>
  <c r="E52" l="1"/>
  <c r="B53" s="1"/>
  <c r="C52"/>
  <c r="D52" s="1"/>
  <c r="C53" l="1"/>
  <c r="D53" s="1"/>
  <c r="E53" s="1"/>
  <c r="B54" s="1"/>
  <c r="E54" l="1"/>
  <c r="B55" s="1"/>
  <c r="C54"/>
  <c r="D54" s="1"/>
  <c r="C55" l="1"/>
  <c r="D55" s="1"/>
  <c r="E55" s="1"/>
  <c r="B56" s="1"/>
  <c r="E56" l="1"/>
  <c r="B57" s="1"/>
  <c r="C56"/>
  <c r="D56" s="1"/>
  <c r="C57" l="1"/>
  <c r="D57" s="1"/>
  <c r="E57" s="1"/>
  <c r="B58" s="1"/>
  <c r="E58" l="1"/>
  <c r="B59" s="1"/>
  <c r="C58"/>
  <c r="D58" s="1"/>
  <c r="E59" l="1"/>
  <c r="B60" s="1"/>
  <c r="C59"/>
  <c r="D59" s="1"/>
  <c r="E60" l="1"/>
  <c r="B61" s="1"/>
  <c r="C60"/>
  <c r="D60" s="1"/>
  <c r="E61" l="1"/>
  <c r="B62" s="1"/>
  <c r="C61"/>
  <c r="D61" s="1"/>
  <c r="E62" l="1"/>
  <c r="B63" s="1"/>
  <c r="C62"/>
  <c r="D62" s="1"/>
  <c r="E63" l="1"/>
  <c r="C63"/>
  <c r="D63" s="1"/>
</calcChain>
</file>

<file path=xl/sharedStrings.xml><?xml version="1.0" encoding="utf-8"?>
<sst xmlns="http://schemas.openxmlformats.org/spreadsheetml/2006/main" count="300" uniqueCount="104">
  <si>
    <t>Antal kvadratmeter:</t>
  </si>
  <si>
    <t>Underfinansiering:</t>
  </si>
  <si>
    <t>Ejendommens værdi:</t>
  </si>
  <si>
    <t>Foreningens gæld:</t>
  </si>
  <si>
    <t>Andelskrone pr. m2:</t>
  </si>
  <si>
    <t>Scenarie 1 og 2 - Andelslejligheder på 6. sal</t>
  </si>
  <si>
    <t>Byfornyelse</t>
  </si>
  <si>
    <t>Lejlighedsudvidelse</t>
  </si>
  <si>
    <t>Skifte tagkonstruktion, lave kælder og vandtryk</t>
  </si>
  <si>
    <t>Nye altaner, 22 á 120.000</t>
  </si>
  <si>
    <t>Tilbagekøb af altaner</t>
  </si>
  <si>
    <t>Køb af Mary's Magasin</t>
  </si>
  <si>
    <t>Restgæld af eksisterende lån</t>
  </si>
  <si>
    <t>Udgifter i alt</t>
  </si>
  <si>
    <t>Tilskud fra kommune</t>
  </si>
  <si>
    <t>Indskud nye lejligheder 1000 m2 á 14.000</t>
  </si>
  <si>
    <t>Etableringsomkostninger, renter år 1</t>
  </si>
  <si>
    <t>Finansieringsbehov</t>
  </si>
  <si>
    <t>Generelle forudsætninger:</t>
  </si>
  <si>
    <t>- 85 % af byggesummen tillægges ejendommens værdi efter projektet</t>
  </si>
  <si>
    <t>- Salg af andele i byggeperioden vil ske med tab pga. den tekniske andelskrone under byggeriet</t>
  </si>
  <si>
    <t>- Altanprojektet gennemføres og køb af erhvervsandel gennemføres i alle scenarier</t>
  </si>
  <si>
    <t>- Alle der ikke har badeværelser vil få det ved byfornyelsen</t>
  </si>
  <si>
    <t>Generel risiko: Hvis budgettet ikke holder efter prisindhentning skal lånet betales tilbage</t>
  </si>
  <si>
    <t>Scenarie 1 - Byfornyelse med andelslejligheder på 6. sal</t>
  </si>
  <si>
    <t>Lånebeløb:</t>
  </si>
  <si>
    <t>Den årlige rente %:</t>
  </si>
  <si>
    <t>Lånets løbetid i år:</t>
  </si>
  <si>
    <t>Andelskrone</t>
  </si>
  <si>
    <t>Overskud jf. nyt budget</t>
  </si>
  <si>
    <t>Underfinansiering</t>
  </si>
  <si>
    <t>Forhøjelse af boligafgift pr. m2</t>
  </si>
  <si>
    <t>Fohøjelse pr. m2 pr. måned</t>
  </si>
  <si>
    <t>Total betaling pr år:</t>
  </si>
  <si>
    <t>Ydelse pr. måned:</t>
  </si>
  <si>
    <t>Renter i alt for hele låneperioden:</t>
  </si>
  <si>
    <t>År</t>
  </si>
  <si>
    <t>Primo</t>
  </si>
  <si>
    <t>Rente</t>
  </si>
  <si>
    <t>Afdrag</t>
  </si>
  <si>
    <t>Ultimo</t>
  </si>
  <si>
    <t>Forudsætninger</t>
  </si>
  <si>
    <t>Indtægter:</t>
  </si>
  <si>
    <t>Boligafgifter</t>
  </si>
  <si>
    <t>Lejeindtægter erhverv</t>
  </si>
  <si>
    <t>Altanydelser, 77 á 500 pr. måned</t>
  </si>
  <si>
    <t>Nye badeværelser, 33 á 650 pr. måned</t>
  </si>
  <si>
    <t>Nye taglejligheder, 1000 m2 á 401,83</t>
  </si>
  <si>
    <t>Antenne og internet</t>
  </si>
  <si>
    <t>Beboerhotel</t>
  </si>
  <si>
    <t>Udgifter:</t>
  </si>
  <si>
    <t>Administration</t>
  </si>
  <si>
    <t>Vedligeholdelse</t>
  </si>
  <si>
    <t xml:space="preserve">Renholdelse </t>
  </si>
  <si>
    <t>Skatter og afgifter</t>
  </si>
  <si>
    <t>Andre udgifter</t>
  </si>
  <si>
    <t>Vicevært</t>
  </si>
  <si>
    <t>Overskud</t>
  </si>
  <si>
    <t>Renter af gæld</t>
  </si>
  <si>
    <t>Resultat</t>
  </si>
  <si>
    <t>Likviditet</t>
  </si>
  <si>
    <t>For</t>
  </si>
  <si>
    <t>Imod</t>
  </si>
  <si>
    <t>- Ingen huslejestigninger</t>
  </si>
  <si>
    <t>- Rente på 45 mio. kr.</t>
  </si>
  <si>
    <t>- Ejendommens faciliteter bliver tidssvarende</t>
  </si>
  <si>
    <t xml:space="preserve">- Devaluerer andelskronen på sigt pga. fremtidigt </t>
  </si>
  <si>
    <t xml:space="preserve">   behov for ny vedligeholdelse inden dette lån er betalt</t>
  </si>
  <si>
    <t>- Går imod andelstanken</t>
  </si>
  <si>
    <t>Scenarie 2 - Byfornyelse med andelslejligheder på 6. sal</t>
  </si>
  <si>
    <t>- Gældsfri efter 30 år</t>
  </si>
  <si>
    <t>- Huslejestigning på 8,8 kr. pr. m2/måned</t>
  </si>
  <si>
    <t>- Afdrager 1 mio. pr. år til at fastholde andelskronen</t>
  </si>
  <si>
    <t>- 2 vær.: Husleje stiger ca. 440 kr.</t>
  </si>
  <si>
    <t>- 3 vær.: Husleje stiger ca. 660 kr.</t>
  </si>
  <si>
    <t>- 4 vær.: Husleje stiger ca. 880 kr.</t>
  </si>
  <si>
    <t>Nye taglejligheder, 1000 m2 á 200</t>
  </si>
  <si>
    <t>- Ingen genhusning</t>
  </si>
  <si>
    <t>- Kun det mest nødvendige renoveres</t>
  </si>
  <si>
    <t xml:space="preserve">   (ikke afløb, nye badeværelser mv.)</t>
  </si>
  <si>
    <t>- Huslejestigning på 4,5 kr. pr. m2/måned</t>
  </si>
  <si>
    <t>- 2 vær.: Husleje stiger ca. 225 kr.</t>
  </si>
  <si>
    <t>- 3 vær.: Husleje stiger ca. 338 kr.</t>
  </si>
  <si>
    <t>- 4 vær.: Husleje stiger ca. 450 kr.</t>
  </si>
  <si>
    <t>Scenarie 5 - Ingen byfornyelse (lave tag, kælder og vandtryk)</t>
  </si>
  <si>
    <t>Scenarie 4 - Byfornyelse med ejerlejligheder (leje) på 6. sal</t>
  </si>
  <si>
    <t>Scenarie 3 - Byfornyelse med ejerlejligheder (salg) på 6. sal</t>
  </si>
  <si>
    <t>Indskud nye lejligheder 1000 m2</t>
  </si>
  <si>
    <t>Scenarie 5 - Ingen udvidelse på 6. sal</t>
  </si>
  <si>
    <t>Scenarie 3 - Ejerlejligheder (salg) på 6. sal</t>
  </si>
  <si>
    <t>Scenarie 4 - Ejerlejligheder (leje) på 6. sal</t>
  </si>
  <si>
    <t>Nye taglejligheder, 1000 m2 á 1500</t>
  </si>
  <si>
    <t>- Stigende og mere kompleks administration</t>
  </si>
  <si>
    <t>- Andelsforeningen ejer ikke hele bygningen længere.</t>
  </si>
  <si>
    <t>Indskud nye lejligheder 1000 m2 á 30.000</t>
  </si>
  <si>
    <t>- Huslejestigning på 4 kr. pr. m2/måned</t>
  </si>
  <si>
    <t>- 4 vær.: Husleje stiger ca. 400 kr.</t>
  </si>
  <si>
    <t>- 2 vær.: Husleje stiger ca. 200 kr.</t>
  </si>
  <si>
    <t>- 3 vær.: Husleje stiger ca. 300 kr.</t>
  </si>
  <si>
    <t xml:space="preserve">- "A- og B-lejere" </t>
  </si>
  <si>
    <t>- Huslejestigning på 8,1 kr. pr. m2/måned</t>
  </si>
  <si>
    <t>- 4 vær.: Husleje stiger ca. 810 kr.</t>
  </si>
  <si>
    <t>- 3 vær.: Husleje stiger ca. 608 kr.</t>
  </si>
  <si>
    <t>- 2 vær.: Husleje stiger ca. 405 kr.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</si>
</sst>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#,##0.00_ ;\-#,##0.00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43" fontId="0" fillId="0" borderId="1" xfId="1" applyFont="1" applyBorder="1"/>
    <xf numFmtId="3" fontId="0" fillId="2" borderId="0" xfId="0" applyNumberFormat="1" applyFill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2" xfId="0" applyBorder="1"/>
    <xf numFmtId="0" fontId="0" fillId="0" borderId="8" xfId="0" applyBorder="1"/>
    <xf numFmtId="0" fontId="0" fillId="0" borderId="3" xfId="0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164" fontId="0" fillId="0" borderId="6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  <xf numFmtId="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4" fontId="0" fillId="3" borderId="3" xfId="0" applyNumberFormat="1" applyFill="1" applyBorder="1"/>
    <xf numFmtId="10" fontId="0" fillId="3" borderId="6" xfId="0" applyNumberFormat="1" applyFill="1" applyBorder="1"/>
    <xf numFmtId="3" fontId="0" fillId="3" borderId="5" xfId="0" applyNumberFormat="1" applyFill="1" applyBorder="1"/>
    <xf numFmtId="43" fontId="0" fillId="0" borderId="8" xfId="1" applyFont="1" applyBorder="1"/>
    <xf numFmtId="43" fontId="0" fillId="0" borderId="9" xfId="0" applyNumberFormat="1" applyBorder="1"/>
    <xf numFmtId="4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2" xfId="0" applyNumberFormat="1" applyFont="1" applyBorder="1"/>
    <xf numFmtId="4" fontId="0" fillId="0" borderId="3" xfId="1" applyNumberFormat="1" applyFont="1" applyBorder="1"/>
    <xf numFmtId="4" fontId="2" fillId="0" borderId="4" xfId="0" applyNumberFormat="1" applyFont="1" applyBorder="1"/>
    <xf numFmtId="4" fontId="0" fillId="0" borderId="5" xfId="1" applyNumberFormat="1" applyFont="1" applyBorder="1"/>
    <xf numFmtId="4" fontId="0" fillId="0" borderId="6" xfId="1" applyNumberFormat="1" applyFont="1" applyBorder="1"/>
    <xf numFmtId="4" fontId="2" fillId="0" borderId="7" xfId="0" applyNumberFormat="1" applyFont="1" applyBorder="1"/>
    <xf numFmtId="4" fontId="0" fillId="2" borderId="5" xfId="0" applyNumberFormat="1" applyFill="1" applyBorder="1" applyAlignment="1">
      <alignment horizontal="center"/>
    </xf>
    <xf numFmtId="3" fontId="0" fillId="3" borderId="6" xfId="0" applyNumberFormat="1" applyFill="1" applyBorder="1"/>
    <xf numFmtId="0" fontId="3" fillId="0" borderId="4" xfId="0" applyFont="1" applyBorder="1"/>
    <xf numFmtId="43" fontId="0" fillId="0" borderId="6" xfId="1" applyFont="1" applyBorder="1"/>
    <xf numFmtId="43" fontId="0" fillId="0" borderId="5" xfId="1" applyFont="1" applyBorder="1"/>
    <xf numFmtId="43" fontId="0" fillId="0" borderId="6" xfId="0" applyNumberFormat="1" applyBorder="1"/>
    <xf numFmtId="43" fontId="0" fillId="0" borderId="5" xfId="0" applyNumberFormat="1" applyBorder="1"/>
    <xf numFmtId="164" fontId="0" fillId="0" borderId="5" xfId="0" applyNumberFormat="1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6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4" xfId="0" applyFill="1" applyBorder="1"/>
    <xf numFmtId="49" fontId="0" fillId="0" borderId="2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vertical="center"/>
    </xf>
    <xf numFmtId="49" fontId="0" fillId="0" borderId="0" xfId="0" applyNumberFormat="1"/>
    <xf numFmtId="0" fontId="0" fillId="0" borderId="0" xfId="0"/>
    <xf numFmtId="0" fontId="0" fillId="0" borderId="0" xfId="0" applyBorder="1"/>
    <xf numFmtId="49" fontId="3" fillId="4" borderId="12" xfId="0" applyNumberFormat="1" applyFont="1" applyFill="1" applyBorder="1" applyAlignment="1">
      <alignment horizontal="center" vertical="center" wrapText="1"/>
    </xf>
    <xf numFmtId="0" fontId="0" fillId="0" borderId="7" xfId="0" applyBorder="1"/>
    <xf numFmtId="49" fontId="0" fillId="0" borderId="10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1" xfId="0" applyBorder="1"/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49" fontId="0" fillId="0" borderId="4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</cellXfs>
  <cellStyles count="2">
    <cellStyle name="1000-sep (2 dec)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"/>
  <sheetViews>
    <sheetView workbookViewId="0">
      <selection activeCell="F8" sqref="F8"/>
    </sheetView>
  </sheetViews>
  <sheetFormatPr defaultRowHeight="15"/>
  <cols>
    <col min="1" max="1" width="10.140625" customWidth="1"/>
    <col min="2" max="2" width="21" bestFit="1" customWidth="1"/>
    <col min="3" max="3" width="14.42578125" customWidth="1"/>
    <col min="4" max="4" width="14.7109375" customWidth="1"/>
    <col min="5" max="5" width="20.85546875" customWidth="1"/>
    <col min="6" max="6" width="15.85546875" customWidth="1"/>
    <col min="7" max="7" width="17.7109375" hidden="1" customWidth="1"/>
    <col min="8" max="8" width="19" customWidth="1"/>
    <col min="10" max="10" width="13.7109375" bestFit="1" customWidth="1"/>
  </cols>
  <sheetData>
    <row r="3" spans="1:11">
      <c r="A3" s="69"/>
      <c r="B3" s="8" t="s">
        <v>0</v>
      </c>
      <c r="C3" s="10">
        <f>5236+1000</f>
        <v>6236</v>
      </c>
      <c r="D3" s="69"/>
      <c r="E3" s="69"/>
      <c r="F3" s="69"/>
      <c r="G3" s="69"/>
      <c r="H3" s="69"/>
      <c r="I3" s="69"/>
      <c r="J3" s="69"/>
      <c r="K3" s="69"/>
    </row>
    <row r="5" spans="1:11">
      <c r="A5" s="69"/>
      <c r="B5" s="1"/>
      <c r="C5" s="69"/>
      <c r="D5" s="69"/>
      <c r="E5" s="69"/>
      <c r="F5" s="69"/>
      <c r="G5" s="69"/>
      <c r="H5" s="69"/>
      <c r="I5" s="69"/>
      <c r="J5" s="69"/>
      <c r="K5" s="69"/>
    </row>
    <row r="6" spans="1:11">
      <c r="A6" s="69"/>
      <c r="B6" s="1"/>
      <c r="C6" s="69"/>
      <c r="D6" s="69"/>
      <c r="E6" s="14"/>
      <c r="F6" s="15"/>
      <c r="G6" s="15"/>
      <c r="H6" s="16" t="s">
        <v>1</v>
      </c>
      <c r="I6" s="69"/>
      <c r="J6" s="69"/>
      <c r="K6" s="69"/>
    </row>
    <row r="7" spans="1:11">
      <c r="A7" s="3"/>
      <c r="B7" s="37" t="s">
        <v>2</v>
      </c>
      <c r="C7" s="38">
        <f>102000000+(Finansieringsbehov!C2+Finansieringsbehov!C3)*0.85</f>
        <v>151548150.69999999</v>
      </c>
      <c r="D7" s="1"/>
      <c r="E7" s="12" t="s">
        <v>2</v>
      </c>
      <c r="F7" s="17">
        <f>102000000+(Finansieringsbehov!C2+Finansieringsbehov!C3)*0.85</f>
        <v>151548150.69999999</v>
      </c>
      <c r="G7" s="18">
        <f>F7-F9</f>
        <v>64244150.699999988</v>
      </c>
      <c r="H7" s="19">
        <f>F8-G7</f>
        <v>-11093961.699999988</v>
      </c>
      <c r="I7" s="69"/>
      <c r="J7" s="2"/>
      <c r="K7" s="5"/>
    </row>
    <row r="8" spans="1:11">
      <c r="A8" s="69"/>
      <c r="B8" s="39" t="s">
        <v>3</v>
      </c>
      <c r="C8" s="40">
        <f>Finansieringsbehov!C18</f>
        <v>53150189</v>
      </c>
      <c r="D8" s="1"/>
      <c r="E8" s="12" t="s">
        <v>3</v>
      </c>
      <c r="F8" s="9">
        <f>Finansieringsbehov!C18</f>
        <v>53150189</v>
      </c>
      <c r="G8" s="18">
        <f>F9+F8</f>
        <v>140454189</v>
      </c>
      <c r="H8" s="19">
        <f>G8-F7</f>
        <v>-11093961.699999988</v>
      </c>
      <c r="I8" s="69"/>
      <c r="J8" s="69"/>
      <c r="K8" s="69"/>
    </row>
    <row r="9" spans="1:11">
      <c r="A9" s="7"/>
      <c r="B9" s="39"/>
      <c r="C9" s="41">
        <f>C7-C8</f>
        <v>98397961.699999988</v>
      </c>
      <c r="D9" s="1"/>
      <c r="E9" s="20"/>
      <c r="F9" s="18">
        <f>F11*C3</f>
        <v>87304000</v>
      </c>
      <c r="G9" s="70"/>
      <c r="H9" s="21"/>
      <c r="I9" s="69"/>
      <c r="J9" s="69"/>
      <c r="K9" s="69"/>
    </row>
    <row r="10" spans="1:11">
      <c r="A10" s="69"/>
      <c r="B10" s="39"/>
      <c r="C10" s="41"/>
      <c r="D10" s="1"/>
      <c r="E10" s="20"/>
      <c r="F10" s="18"/>
      <c r="G10" s="70"/>
      <c r="H10" s="21"/>
      <c r="I10" s="69"/>
      <c r="J10" s="69"/>
      <c r="K10" s="69"/>
    </row>
    <row r="11" spans="1:11">
      <c r="A11" s="69"/>
      <c r="B11" s="42" t="s">
        <v>4</v>
      </c>
      <c r="C11" s="43">
        <f>C9/C3</f>
        <v>15779.018874278381</v>
      </c>
      <c r="D11" s="69"/>
      <c r="E11" s="13" t="s">
        <v>4</v>
      </c>
      <c r="F11" s="22">
        <v>14000</v>
      </c>
      <c r="G11" s="23"/>
      <c r="H11" s="24"/>
      <c r="I11" s="69"/>
      <c r="J11" s="69"/>
      <c r="K11" s="6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topLeftCell="B1" workbookViewId="0">
      <selection activeCell="F14" sqref="F14"/>
    </sheetView>
  </sheetViews>
  <sheetFormatPr defaultRowHeight="15"/>
  <cols>
    <col min="2" max="2" width="43" customWidth="1"/>
    <col min="3" max="3" width="14.42578125" bestFit="1" customWidth="1"/>
    <col min="5" max="5" width="37.7109375" bestFit="1" customWidth="1"/>
    <col min="6" max="6" width="14.42578125" bestFit="1" customWidth="1"/>
    <col min="8" max="8" width="43.85546875" bestFit="1" customWidth="1"/>
    <col min="9" max="9" width="14.42578125" bestFit="1" customWidth="1"/>
    <col min="10" max="10" width="9.28515625" style="69" customWidth="1"/>
    <col min="11" max="11" width="43.85546875" bestFit="1" customWidth="1"/>
    <col min="12" max="12" width="13.7109375" bestFit="1" customWidth="1"/>
  </cols>
  <sheetData>
    <row r="1" spans="2:12" ht="18.75" customHeight="1">
      <c r="B1" s="67" t="s">
        <v>5</v>
      </c>
      <c r="C1" s="60"/>
      <c r="D1" s="60"/>
      <c r="E1" s="67" t="s">
        <v>89</v>
      </c>
      <c r="F1" s="60"/>
      <c r="G1" s="60"/>
      <c r="H1" s="67" t="s">
        <v>90</v>
      </c>
      <c r="I1" s="60"/>
      <c r="J1" s="60"/>
      <c r="K1" s="67" t="s">
        <v>88</v>
      </c>
      <c r="L1" s="69"/>
    </row>
    <row r="2" spans="2:12">
      <c r="B2" s="69" t="s">
        <v>6</v>
      </c>
      <c r="C2" s="1">
        <v>42845258</v>
      </c>
      <c r="D2" s="69"/>
      <c r="E2" s="69" t="s">
        <v>6</v>
      </c>
      <c r="F2" s="1">
        <f>42845258+5000000</f>
        <v>47845258</v>
      </c>
      <c r="G2" s="69"/>
      <c r="H2" s="69" t="s">
        <v>6</v>
      </c>
      <c r="I2" s="1">
        <f>42845258+5000000</f>
        <v>47845258</v>
      </c>
      <c r="J2" s="1"/>
      <c r="K2" s="69" t="s">
        <v>6</v>
      </c>
      <c r="L2" s="51">
        <v>0</v>
      </c>
    </row>
    <row r="3" spans="2:12">
      <c r="B3" s="69" t="s">
        <v>7</v>
      </c>
      <c r="C3" s="17">
        <v>15446684</v>
      </c>
      <c r="D3" s="69"/>
      <c r="E3" s="69" t="s">
        <v>7</v>
      </c>
      <c r="F3" s="17">
        <v>15446684</v>
      </c>
      <c r="G3" s="69"/>
      <c r="H3" s="69" t="s">
        <v>7</v>
      </c>
      <c r="I3" s="17">
        <v>15446684</v>
      </c>
      <c r="J3" s="17"/>
      <c r="K3" s="69" t="s">
        <v>8</v>
      </c>
      <c r="L3" s="17">
        <v>12500000</v>
      </c>
    </row>
    <row r="4" spans="2:12">
      <c r="B4" s="69" t="s">
        <v>9</v>
      </c>
      <c r="C4" s="17">
        <f>22*120000</f>
        <v>2640000</v>
      </c>
      <c r="D4" s="69"/>
      <c r="E4" s="69" t="s">
        <v>9</v>
      </c>
      <c r="F4" s="17">
        <f>22*120000</f>
        <v>2640000</v>
      </c>
      <c r="G4" s="69"/>
      <c r="H4" s="69" t="s">
        <v>9</v>
      </c>
      <c r="I4" s="17">
        <f>22*120000</f>
        <v>2640000</v>
      </c>
      <c r="J4" s="17"/>
      <c r="K4" s="69" t="s">
        <v>9</v>
      </c>
      <c r="L4" s="17">
        <f>22*120000</f>
        <v>2640000</v>
      </c>
    </row>
    <row r="5" spans="2:12">
      <c r="B5" s="69" t="s">
        <v>10</v>
      </c>
      <c r="C5" s="17">
        <v>500000</v>
      </c>
      <c r="D5" s="69"/>
      <c r="E5" s="69" t="s">
        <v>10</v>
      </c>
      <c r="F5" s="17">
        <v>500000</v>
      </c>
      <c r="G5" s="69"/>
      <c r="H5" s="69" t="s">
        <v>10</v>
      </c>
      <c r="I5" s="17">
        <v>500000</v>
      </c>
      <c r="J5" s="17"/>
      <c r="K5" s="69" t="s">
        <v>10</v>
      </c>
      <c r="L5" s="17">
        <v>500000</v>
      </c>
    </row>
    <row r="6" spans="2:12">
      <c r="B6" s="69" t="s">
        <v>11</v>
      </c>
      <c r="C6" s="9">
        <v>650000</v>
      </c>
      <c r="D6" s="69"/>
      <c r="E6" s="69" t="s">
        <v>11</v>
      </c>
      <c r="F6" s="9">
        <v>650000</v>
      </c>
      <c r="G6" s="69"/>
      <c r="H6" s="69" t="s">
        <v>11</v>
      </c>
      <c r="I6" s="9">
        <v>650000</v>
      </c>
      <c r="J6" s="17"/>
      <c r="K6" s="69" t="s">
        <v>11</v>
      </c>
      <c r="L6" s="9">
        <v>650000</v>
      </c>
    </row>
    <row r="7" spans="2:12">
      <c r="B7" s="69"/>
      <c r="C7" s="17">
        <f>SUM(C2:C6)</f>
        <v>62081942</v>
      </c>
      <c r="D7" s="69"/>
      <c r="E7" s="69"/>
      <c r="F7" s="17">
        <f>SUM(F2:F6)</f>
        <v>67081942</v>
      </c>
      <c r="G7" s="69"/>
      <c r="H7" s="69"/>
      <c r="I7" s="17">
        <f>SUM(I2:I6)</f>
        <v>67081942</v>
      </c>
      <c r="J7" s="17"/>
      <c r="K7" s="69"/>
      <c r="L7" s="17">
        <f>SUM(L2:L6)</f>
        <v>16290000</v>
      </c>
    </row>
    <row r="8" spans="2:12">
      <c r="B8" s="69"/>
      <c r="C8" s="17"/>
      <c r="D8" s="69"/>
      <c r="E8" s="69"/>
      <c r="F8" s="17"/>
      <c r="G8" s="69"/>
      <c r="H8" s="69"/>
      <c r="I8" s="17"/>
      <c r="J8" s="17"/>
      <c r="K8" s="69"/>
      <c r="L8" s="17"/>
    </row>
    <row r="9" spans="2:12">
      <c r="B9" s="69" t="s">
        <v>12</v>
      </c>
      <c r="C9" s="1">
        <v>18350000</v>
      </c>
      <c r="D9" s="69"/>
      <c r="E9" s="69" t="s">
        <v>12</v>
      </c>
      <c r="F9" s="1">
        <v>18350000</v>
      </c>
      <c r="G9" s="69"/>
      <c r="H9" s="69" t="s">
        <v>12</v>
      </c>
      <c r="I9" s="1">
        <v>18350000</v>
      </c>
      <c r="J9" s="1"/>
      <c r="K9" s="69" t="s">
        <v>12</v>
      </c>
      <c r="L9" s="1">
        <v>18350000</v>
      </c>
    </row>
    <row r="10" spans="2:12">
      <c r="B10" s="69"/>
      <c r="C10" s="28"/>
      <c r="D10" s="69"/>
      <c r="E10" s="69"/>
      <c r="F10" s="28"/>
      <c r="G10" s="69"/>
      <c r="H10" s="69"/>
      <c r="I10" s="28"/>
      <c r="J10" s="17"/>
      <c r="K10" s="69"/>
      <c r="L10" s="28"/>
    </row>
    <row r="11" spans="2:12">
      <c r="B11" s="69" t="s">
        <v>13</v>
      </c>
      <c r="C11" s="9">
        <f>C7+C9</f>
        <v>80431942</v>
      </c>
      <c r="D11" s="69"/>
      <c r="E11" s="69" t="s">
        <v>13</v>
      </c>
      <c r="F11" s="9">
        <f>F7+F9</f>
        <v>85431942</v>
      </c>
      <c r="G11" s="69"/>
      <c r="H11" s="69" t="s">
        <v>13</v>
      </c>
      <c r="I11" s="9">
        <f>I7+I9</f>
        <v>85431942</v>
      </c>
      <c r="J11" s="17"/>
      <c r="K11" s="69" t="s">
        <v>13</v>
      </c>
      <c r="L11" s="9">
        <f>L7+L9</f>
        <v>34640000</v>
      </c>
    </row>
    <row r="12" spans="2:12">
      <c r="B12" s="69"/>
      <c r="C12" s="17"/>
      <c r="D12" s="69"/>
      <c r="E12" s="69"/>
      <c r="F12" s="17"/>
      <c r="G12" s="69"/>
      <c r="H12" s="69"/>
      <c r="I12" s="17"/>
      <c r="J12" s="17"/>
      <c r="K12" s="69"/>
      <c r="L12" s="17"/>
    </row>
    <row r="13" spans="2:12">
      <c r="B13" s="69" t="s">
        <v>14</v>
      </c>
      <c r="C13" s="17">
        <v>-14281753</v>
      </c>
      <c r="D13" s="69"/>
      <c r="E13" s="69" t="s">
        <v>14</v>
      </c>
      <c r="F13" s="17">
        <v>-14281753</v>
      </c>
      <c r="G13" s="69"/>
      <c r="H13" s="69" t="s">
        <v>14</v>
      </c>
      <c r="I13" s="17">
        <v>-14281753</v>
      </c>
      <c r="J13" s="17"/>
      <c r="K13" s="69" t="s">
        <v>14</v>
      </c>
      <c r="L13" s="54">
        <v>0</v>
      </c>
    </row>
    <row r="14" spans="2:12">
      <c r="B14" s="69" t="s">
        <v>15</v>
      </c>
      <c r="C14" s="9">
        <f>-1000*14000</f>
        <v>-14000000</v>
      </c>
      <c r="D14" s="69"/>
      <c r="E14" s="69" t="s">
        <v>94</v>
      </c>
      <c r="F14" s="9">
        <f>-1000*30000</f>
        <v>-30000000</v>
      </c>
      <c r="G14" s="69"/>
      <c r="H14" s="69" t="s">
        <v>87</v>
      </c>
      <c r="I14" s="52">
        <v>0</v>
      </c>
      <c r="J14" s="17"/>
      <c r="K14" s="69" t="s">
        <v>15</v>
      </c>
      <c r="L14" s="52">
        <v>0</v>
      </c>
    </row>
    <row r="15" spans="2:12" s="69" customFormat="1">
      <c r="C15" s="17"/>
      <c r="F15" s="17"/>
      <c r="I15" s="17"/>
      <c r="J15" s="17"/>
      <c r="L15" s="54"/>
    </row>
    <row r="16" spans="2:12" s="69" customFormat="1">
      <c r="B16" s="69" t="s">
        <v>16</v>
      </c>
      <c r="C16" s="17">
        <v>1000000</v>
      </c>
      <c r="E16" s="69" t="s">
        <v>16</v>
      </c>
      <c r="F16" s="17">
        <v>1500000</v>
      </c>
      <c r="H16" s="69" t="s">
        <v>16</v>
      </c>
      <c r="I16" s="17">
        <v>1500000</v>
      </c>
      <c r="J16" s="17"/>
      <c r="K16" s="69" t="s">
        <v>16</v>
      </c>
      <c r="L16" s="54">
        <v>300000</v>
      </c>
    </row>
    <row r="17" spans="2:12">
      <c r="H17" s="69"/>
      <c r="I17" s="69"/>
    </row>
    <row r="18" spans="2:12" ht="15.75" thickBot="1">
      <c r="B18" s="69" t="s">
        <v>17</v>
      </c>
      <c r="C18" s="29">
        <f>C11+C13+C14+C16</f>
        <v>53150189</v>
      </c>
      <c r="D18" s="69"/>
      <c r="E18" s="69" t="s">
        <v>17</v>
      </c>
      <c r="F18" s="29">
        <f>F11+F13+F14+F16</f>
        <v>42650189</v>
      </c>
      <c r="G18" s="69"/>
      <c r="H18" s="69" t="s">
        <v>17</v>
      </c>
      <c r="I18" s="29">
        <f>I11+I13+I14+I16</f>
        <v>72650189</v>
      </c>
      <c r="J18" s="18"/>
      <c r="K18" s="69" t="s">
        <v>17</v>
      </c>
      <c r="L18" s="29">
        <f>L11+L13+L14+L16</f>
        <v>34940000</v>
      </c>
    </row>
    <row r="19" spans="2:12" ht="15.75" thickTop="1">
      <c r="B19" s="69"/>
      <c r="C19" s="69"/>
      <c r="D19" s="69"/>
      <c r="E19" s="69"/>
      <c r="F19" s="69"/>
      <c r="G19" s="69"/>
      <c r="H19" s="69"/>
      <c r="I19" s="69"/>
    </row>
    <row r="21" spans="2:12" ht="15.75">
      <c r="B21" s="59" t="s">
        <v>18</v>
      </c>
      <c r="C21" s="69"/>
      <c r="D21" s="69"/>
      <c r="E21" s="69"/>
      <c r="F21" s="69"/>
      <c r="G21" s="69"/>
      <c r="H21" s="69"/>
      <c r="I21" s="69"/>
    </row>
    <row r="22" spans="2:12" ht="16.5" customHeight="1">
      <c r="B22" s="57" t="s">
        <v>19</v>
      </c>
      <c r="C22" s="61"/>
      <c r="D22" s="61"/>
      <c r="E22" s="62"/>
      <c r="F22" s="69"/>
      <c r="G22" s="69"/>
      <c r="H22" s="69"/>
      <c r="I22" s="69"/>
    </row>
    <row r="23" spans="2:12" ht="16.5" customHeight="1">
      <c r="B23" s="78" t="s">
        <v>20</v>
      </c>
      <c r="C23" s="63"/>
      <c r="D23" s="63"/>
      <c r="E23" s="64"/>
      <c r="F23" s="69"/>
      <c r="G23" s="69"/>
      <c r="H23" s="69"/>
      <c r="I23" s="69"/>
    </row>
    <row r="24" spans="2:12" ht="16.5" customHeight="1">
      <c r="B24" s="78" t="s">
        <v>21</v>
      </c>
      <c r="C24" s="63"/>
      <c r="D24" s="63"/>
      <c r="E24" s="64"/>
      <c r="F24" s="69"/>
      <c r="G24" s="69"/>
      <c r="H24" s="69"/>
      <c r="I24" s="69"/>
    </row>
    <row r="25" spans="2:12" ht="16.5" customHeight="1">
      <c r="B25" s="78" t="s">
        <v>22</v>
      </c>
      <c r="C25" s="63"/>
      <c r="D25" s="63"/>
      <c r="E25" s="64"/>
      <c r="F25" s="69"/>
      <c r="G25" s="69"/>
      <c r="H25" s="69"/>
      <c r="I25" s="69"/>
    </row>
    <row r="26" spans="2:12" ht="16.5" customHeight="1">
      <c r="B26" s="58" t="s">
        <v>23</v>
      </c>
      <c r="C26" s="65"/>
      <c r="D26" s="65"/>
      <c r="E26" s="66"/>
      <c r="F26" s="69"/>
      <c r="G26" s="69"/>
      <c r="H26" s="69"/>
      <c r="I26" s="6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>
      <selection activeCell="A3" sqref="A3"/>
    </sheetView>
  </sheetViews>
  <sheetFormatPr defaultRowHeight="15"/>
  <cols>
    <col min="1" max="1" width="18.28515625" customWidth="1"/>
    <col min="2" max="2" width="14.42578125" customWidth="1"/>
    <col min="3" max="3" width="10.85546875" bestFit="1" customWidth="1"/>
    <col min="4" max="4" width="10.140625" bestFit="1" customWidth="1"/>
    <col min="5" max="5" width="13.5703125" bestFit="1" customWidth="1"/>
    <col min="6" max="6" width="9.140625" customWidth="1"/>
    <col min="7" max="7" width="35.42578125" customWidth="1"/>
    <col min="8" max="8" width="18" customWidth="1"/>
    <col min="9" max="9" width="29.140625" customWidth="1"/>
    <col min="10" max="10" width="26.28515625" customWidth="1"/>
    <col min="11" max="11" width="9.140625" customWidth="1"/>
    <col min="14" max="14" width="10.28515625" customWidth="1"/>
  </cols>
  <sheetData>
    <row r="1" spans="1:11" s="69" customFormat="1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s="69" customForma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1">
      <c r="A3" s="11" t="s">
        <v>25</v>
      </c>
      <c r="B3" s="25">
        <f>Finansieringsbehov!C18</f>
        <v>53150189</v>
      </c>
      <c r="C3" s="69"/>
      <c r="D3" s="69"/>
      <c r="E3" s="69"/>
      <c r="F3" s="69"/>
      <c r="G3" s="69"/>
      <c r="H3" s="69"/>
      <c r="I3" s="69"/>
      <c r="J3" s="69"/>
      <c r="K3" s="69"/>
    </row>
    <row r="4" spans="1:11">
      <c r="A4" s="12" t="s">
        <v>26</v>
      </c>
      <c r="B4" s="26">
        <v>3.4000000000000002E-2</v>
      </c>
      <c r="C4" s="69"/>
      <c r="D4" s="69"/>
      <c r="E4" s="69"/>
      <c r="F4" s="69"/>
      <c r="G4" s="69"/>
      <c r="H4" s="69"/>
      <c r="I4" s="69"/>
      <c r="J4" s="69"/>
      <c r="K4" s="69"/>
    </row>
    <row r="5" spans="1:11">
      <c r="A5" s="12" t="s">
        <v>27</v>
      </c>
      <c r="B5" s="44">
        <v>51</v>
      </c>
      <c r="C5" s="69"/>
      <c r="D5" s="69"/>
      <c r="E5" s="69"/>
      <c r="F5" s="69"/>
      <c r="G5" s="69"/>
      <c r="H5" s="69"/>
      <c r="I5" s="69"/>
      <c r="J5" s="69"/>
      <c r="K5" s="69"/>
    </row>
    <row r="6" spans="1:11">
      <c r="A6" s="13" t="s">
        <v>28</v>
      </c>
      <c r="B6" s="27">
        <v>14000</v>
      </c>
      <c r="C6" s="69"/>
      <c r="D6" s="69"/>
      <c r="E6" s="69"/>
      <c r="F6" s="69"/>
      <c r="G6" s="69"/>
      <c r="H6" s="69"/>
      <c r="I6" s="69"/>
      <c r="J6" s="69"/>
      <c r="K6" s="69"/>
    </row>
    <row r="7" spans="1:11">
      <c r="A7" s="69"/>
      <c r="B7" s="69"/>
      <c r="C7" s="69"/>
      <c r="D7" s="69"/>
      <c r="E7" s="69"/>
      <c r="F7" s="69"/>
      <c r="G7" s="34" t="s">
        <v>29</v>
      </c>
      <c r="H7" s="35" t="s">
        <v>30</v>
      </c>
      <c r="I7" s="36" t="s">
        <v>31</v>
      </c>
      <c r="J7" s="35" t="s">
        <v>32</v>
      </c>
      <c r="K7" s="69"/>
    </row>
    <row r="8" spans="1:11">
      <c r="A8" s="69" t="s">
        <v>33</v>
      </c>
      <c r="B8" s="69"/>
      <c r="C8" s="69"/>
      <c r="D8" s="69"/>
      <c r="E8" s="4">
        <f>B3*(B4/(1-(1+B4)^-B5))</f>
        <v>2208476.8582509006</v>
      </c>
      <c r="F8" s="69"/>
      <c r="G8" s="30">
        <f>H32</f>
        <v>2196230</v>
      </c>
      <c r="H8" s="32">
        <f>E8-G8</f>
        <v>12246.858250900637</v>
      </c>
      <c r="I8" s="31">
        <f>H8/6236</f>
        <v>1.9638964481880432</v>
      </c>
      <c r="J8" s="33">
        <f>I8/12</f>
        <v>0.16365803734900361</v>
      </c>
      <c r="K8" s="69"/>
    </row>
    <row r="9" spans="1:11">
      <c r="A9" s="69" t="s">
        <v>34</v>
      </c>
      <c r="B9" s="69"/>
      <c r="C9" s="69"/>
      <c r="D9" s="69"/>
      <c r="E9" s="4">
        <f>E8/12</f>
        <v>184039.73818757504</v>
      </c>
      <c r="F9" s="69"/>
      <c r="G9" s="69"/>
      <c r="H9" s="69"/>
      <c r="I9" s="69"/>
      <c r="J9" s="69"/>
      <c r="K9" s="69"/>
    </row>
    <row r="10" spans="1:11">
      <c r="A10" s="69" t="s">
        <v>35</v>
      </c>
      <c r="B10" s="69"/>
      <c r="C10" s="69"/>
      <c r="D10" s="69"/>
      <c r="E10" s="4">
        <f>SUM(C13:C42)</f>
        <v>45872161.203090131</v>
      </c>
      <c r="F10" s="69"/>
      <c r="G10" s="69"/>
      <c r="H10" s="69"/>
      <c r="I10" s="69"/>
      <c r="J10" s="69"/>
      <c r="K10" s="69"/>
    </row>
    <row r="11" spans="1:11">
      <c r="A11" s="69"/>
      <c r="B11" s="69"/>
      <c r="C11" s="69"/>
      <c r="D11" s="69"/>
      <c r="E11" s="4"/>
      <c r="F11" s="69"/>
      <c r="G11" s="69"/>
      <c r="H11" s="69"/>
      <c r="I11" s="69"/>
      <c r="J11" s="69"/>
      <c r="K11" s="69"/>
    </row>
    <row r="12" spans="1:11" ht="15.75">
      <c r="A12" s="6" t="s">
        <v>36</v>
      </c>
      <c r="B12" s="6" t="s">
        <v>37</v>
      </c>
      <c r="C12" s="6" t="s">
        <v>38</v>
      </c>
      <c r="D12" s="6" t="s">
        <v>39</v>
      </c>
      <c r="E12" s="6" t="s">
        <v>40</v>
      </c>
      <c r="F12" s="69"/>
      <c r="G12" s="91" t="s">
        <v>41</v>
      </c>
      <c r="H12" s="92"/>
      <c r="I12" s="69"/>
      <c r="J12" s="70"/>
      <c r="K12" s="70"/>
    </row>
    <row r="13" spans="1:11" ht="15.75">
      <c r="A13" s="3">
        <v>1</v>
      </c>
      <c r="B13" s="7">
        <f>B3</f>
        <v>53150189</v>
      </c>
      <c r="C13" s="7">
        <f>B13*$B$4</f>
        <v>1807106.4260000002</v>
      </c>
      <c r="D13" s="7">
        <f>$E$8-C13</f>
        <v>401370.43225090043</v>
      </c>
      <c r="E13" s="7">
        <f>B13-D13</f>
        <v>52748818.567749098</v>
      </c>
      <c r="F13" s="69"/>
      <c r="G13" s="45" t="s">
        <v>42</v>
      </c>
      <c r="H13" s="21"/>
      <c r="I13" s="69"/>
      <c r="J13" s="70"/>
      <c r="K13" s="70"/>
    </row>
    <row r="14" spans="1:11">
      <c r="A14" s="3">
        <v>2</v>
      </c>
      <c r="B14" s="7">
        <f>E13</f>
        <v>52748818.567749098</v>
      </c>
      <c r="C14" s="7">
        <f>B14*$B$4</f>
        <v>1793459.8313034694</v>
      </c>
      <c r="D14" s="7">
        <f>$E$8-C14</f>
        <v>415017.02694743127</v>
      </c>
      <c r="E14" s="7">
        <f t="shared" ref="E14:E58" si="0">B14-D14</f>
        <v>52333801.540801667</v>
      </c>
      <c r="F14" s="69"/>
      <c r="G14" s="20" t="s">
        <v>43</v>
      </c>
      <c r="H14" s="46">
        <v>2104000</v>
      </c>
      <c r="I14" s="69"/>
      <c r="J14" s="69"/>
      <c r="K14" s="69"/>
    </row>
    <row r="15" spans="1:11">
      <c r="A15" s="3">
        <v>3</v>
      </c>
      <c r="B15" s="7">
        <f t="shared" ref="B15:B58" si="1">E14</f>
        <v>52333801.540801667</v>
      </c>
      <c r="C15" s="7">
        <f t="shared" ref="C15:C58" si="2">B15*$B$4</f>
        <v>1779349.2523872568</v>
      </c>
      <c r="D15" s="7">
        <f t="shared" ref="D15:D58" si="3">$E$8-C15</f>
        <v>429127.60586364381</v>
      </c>
      <c r="E15" s="7">
        <f t="shared" si="0"/>
        <v>51904673.934938021</v>
      </c>
      <c r="F15" s="69"/>
      <c r="G15" s="20" t="s">
        <v>44</v>
      </c>
      <c r="H15" s="46">
        <v>300000</v>
      </c>
      <c r="I15" s="69"/>
      <c r="J15" s="69"/>
      <c r="K15" s="69"/>
    </row>
    <row r="16" spans="1:11">
      <c r="A16" s="3">
        <v>4</v>
      </c>
      <c r="B16" s="7">
        <f t="shared" si="1"/>
        <v>51904673.934938021</v>
      </c>
      <c r="C16" s="7">
        <f t="shared" si="2"/>
        <v>1764758.9137878928</v>
      </c>
      <c r="D16" s="7">
        <f t="shared" si="3"/>
        <v>443717.94446300785</v>
      </c>
      <c r="E16" s="7">
        <f t="shared" si="0"/>
        <v>51460955.990475014</v>
      </c>
      <c r="F16" s="69"/>
      <c r="G16" s="20" t="s">
        <v>45</v>
      </c>
      <c r="H16" s="46">
        <f>77*500*12</f>
        <v>462000</v>
      </c>
      <c r="I16" s="69"/>
      <c r="J16" s="69"/>
      <c r="K16" s="69"/>
    </row>
    <row r="17" spans="1:11">
      <c r="A17" s="3">
        <v>5</v>
      </c>
      <c r="B17" s="7">
        <f t="shared" si="1"/>
        <v>51460955.990475014</v>
      </c>
      <c r="C17" s="7">
        <f t="shared" si="2"/>
        <v>1749672.5036761507</v>
      </c>
      <c r="D17" s="7">
        <f t="shared" si="3"/>
        <v>458804.35457474994</v>
      </c>
      <c r="E17" s="7">
        <f t="shared" si="0"/>
        <v>51002151.635900266</v>
      </c>
      <c r="F17" s="69"/>
      <c r="G17" s="20" t="s">
        <v>46</v>
      </c>
      <c r="H17" s="46">
        <f>33*650*12</f>
        <v>257400</v>
      </c>
      <c r="I17" s="69"/>
      <c r="J17" s="69"/>
      <c r="K17" s="69"/>
    </row>
    <row r="18" spans="1:11">
      <c r="A18" s="3">
        <v>6</v>
      </c>
      <c r="B18" s="7">
        <f t="shared" si="1"/>
        <v>51002151.635900266</v>
      </c>
      <c r="C18" s="7">
        <f t="shared" si="2"/>
        <v>1734073.1556206092</v>
      </c>
      <c r="D18" s="7">
        <f t="shared" si="3"/>
        <v>474403.70263029146</v>
      </c>
      <c r="E18" s="7">
        <f t="shared" si="0"/>
        <v>50527747.933269978</v>
      </c>
      <c r="F18" s="69"/>
      <c r="G18" s="20" t="s">
        <v>47</v>
      </c>
      <c r="H18" s="46">
        <f>1000*401.83</f>
        <v>401830</v>
      </c>
      <c r="I18" s="69"/>
      <c r="J18" s="69"/>
      <c r="K18" s="69"/>
    </row>
    <row r="19" spans="1:11" ht="15" customHeight="1">
      <c r="A19" s="3">
        <v>7</v>
      </c>
      <c r="B19" s="7">
        <f t="shared" si="1"/>
        <v>50527747.933269978</v>
      </c>
      <c r="C19" s="7">
        <f t="shared" si="2"/>
        <v>1717943.4297311793</v>
      </c>
      <c r="D19" s="7">
        <f t="shared" si="3"/>
        <v>490533.42851972138</v>
      </c>
      <c r="E19" s="7">
        <f t="shared" si="0"/>
        <v>50037214.504750259</v>
      </c>
      <c r="F19" s="69"/>
      <c r="G19" s="20" t="s">
        <v>48</v>
      </c>
      <c r="H19" s="46">
        <v>193000</v>
      </c>
      <c r="I19" s="69"/>
      <c r="J19" s="69"/>
      <c r="K19" s="69"/>
    </row>
    <row r="20" spans="1:11" ht="15" customHeight="1">
      <c r="A20" s="3">
        <v>8</v>
      </c>
      <c r="B20" s="7">
        <f t="shared" si="1"/>
        <v>50037214.504750259</v>
      </c>
      <c r="C20" s="7">
        <f t="shared" si="2"/>
        <v>1701265.2931615089</v>
      </c>
      <c r="D20" s="7">
        <f t="shared" si="3"/>
        <v>507211.56508939178</v>
      </c>
      <c r="E20" s="7">
        <f t="shared" si="0"/>
        <v>49530002.93966087</v>
      </c>
      <c r="F20" s="69"/>
      <c r="G20" s="20" t="s">
        <v>49</v>
      </c>
      <c r="H20" s="47">
        <v>43000</v>
      </c>
      <c r="I20" s="69"/>
      <c r="J20" s="69"/>
      <c r="K20" s="69"/>
    </row>
    <row r="21" spans="1:11" ht="15" customHeight="1">
      <c r="A21" s="3">
        <v>9</v>
      </c>
      <c r="B21" s="7">
        <f t="shared" si="1"/>
        <v>49530002.93966087</v>
      </c>
      <c r="C21" s="7">
        <f t="shared" si="2"/>
        <v>1684020.0999484698</v>
      </c>
      <c r="D21" s="7">
        <f t="shared" si="3"/>
        <v>524456.75830243086</v>
      </c>
      <c r="E21" s="7">
        <f t="shared" si="0"/>
        <v>49005546.181358442</v>
      </c>
      <c r="F21" s="69"/>
      <c r="G21" s="20"/>
      <c r="H21" s="46">
        <f>SUM(H14:H20)</f>
        <v>3761230</v>
      </c>
      <c r="I21" s="69"/>
      <c r="J21" s="69"/>
      <c r="K21" s="69"/>
    </row>
    <row r="22" spans="1:11" ht="15" customHeight="1">
      <c r="A22" s="3">
        <v>10</v>
      </c>
      <c r="B22" s="7">
        <f t="shared" si="1"/>
        <v>49005546.181358442</v>
      </c>
      <c r="C22" s="7">
        <f t="shared" si="2"/>
        <v>1666188.5701661871</v>
      </c>
      <c r="D22" s="7">
        <f t="shared" si="3"/>
        <v>542288.28808471351</v>
      </c>
      <c r="E22" s="7">
        <f t="shared" si="0"/>
        <v>48463257.893273726</v>
      </c>
      <c r="F22" s="69"/>
      <c r="G22" s="20"/>
      <c r="H22" s="21"/>
      <c r="I22" s="69"/>
      <c r="J22" s="69"/>
      <c r="K22" s="69"/>
    </row>
    <row r="23" spans="1:11" ht="15" customHeight="1">
      <c r="A23" s="3">
        <v>11</v>
      </c>
      <c r="B23" s="7">
        <f t="shared" si="1"/>
        <v>48463257.893273726</v>
      </c>
      <c r="C23" s="7">
        <f t="shared" si="2"/>
        <v>1647750.7683713068</v>
      </c>
      <c r="D23" s="7">
        <f t="shared" si="3"/>
        <v>560726.08987959381</v>
      </c>
      <c r="E23" s="7">
        <f t="shared" si="0"/>
        <v>47902531.803394131</v>
      </c>
      <c r="F23" s="69"/>
      <c r="G23" s="45" t="s">
        <v>50</v>
      </c>
      <c r="H23" s="21"/>
      <c r="I23" s="69"/>
      <c r="J23" s="69"/>
      <c r="K23" s="69"/>
    </row>
    <row r="24" spans="1:11" ht="15" customHeight="1">
      <c r="A24" s="3">
        <v>12</v>
      </c>
      <c r="B24" s="7">
        <f t="shared" si="1"/>
        <v>47902531.803394131</v>
      </c>
      <c r="C24" s="7">
        <f t="shared" si="2"/>
        <v>1628686.0813154005</v>
      </c>
      <c r="D24" s="7">
        <f t="shared" si="3"/>
        <v>579790.77693550009</v>
      </c>
      <c r="E24" s="7">
        <f t="shared" si="0"/>
        <v>47322741.026458628</v>
      </c>
      <c r="F24" s="69"/>
      <c r="G24" s="20" t="s">
        <v>51</v>
      </c>
      <c r="H24" s="46">
        <v>240000</v>
      </c>
      <c r="I24" s="69"/>
      <c r="J24" s="69"/>
      <c r="K24" s="69"/>
    </row>
    <row r="25" spans="1:11">
      <c r="A25" s="3">
        <v>13</v>
      </c>
      <c r="B25" s="7">
        <f t="shared" si="1"/>
        <v>47322741.026458628</v>
      </c>
      <c r="C25" s="7">
        <f t="shared" si="2"/>
        <v>1608973.1948995935</v>
      </c>
      <c r="D25" s="7">
        <f t="shared" si="3"/>
        <v>599503.66335130716</v>
      </c>
      <c r="E25" s="7">
        <f t="shared" si="0"/>
        <v>46723237.363107324</v>
      </c>
      <c r="F25" s="69"/>
      <c r="G25" s="20" t="s">
        <v>52</v>
      </c>
      <c r="H25" s="46">
        <v>200000</v>
      </c>
      <c r="I25" s="69"/>
      <c r="J25" s="69"/>
      <c r="K25" s="69"/>
    </row>
    <row r="26" spans="1:11">
      <c r="A26" s="3">
        <v>14</v>
      </c>
      <c r="B26" s="7">
        <f t="shared" si="1"/>
        <v>46723237.363107324</v>
      </c>
      <c r="C26" s="7">
        <f t="shared" si="2"/>
        <v>1588590.070345649</v>
      </c>
      <c r="D26" s="7">
        <f t="shared" si="3"/>
        <v>619886.78790525161</v>
      </c>
      <c r="E26" s="7">
        <f t="shared" si="0"/>
        <v>46103350.57520207</v>
      </c>
      <c r="F26" s="69"/>
      <c r="G26" s="20" t="s">
        <v>53</v>
      </c>
      <c r="H26" s="46">
        <v>375000</v>
      </c>
      <c r="I26" s="69"/>
      <c r="J26" s="69"/>
      <c r="K26" s="69"/>
    </row>
    <row r="27" spans="1:11">
      <c r="A27" s="3">
        <v>15</v>
      </c>
      <c r="B27" s="7">
        <f t="shared" si="1"/>
        <v>46103350.57520207</v>
      </c>
      <c r="C27" s="7">
        <f t="shared" si="2"/>
        <v>1567513.9195568706</v>
      </c>
      <c r="D27" s="7">
        <f t="shared" si="3"/>
        <v>640962.93869403005</v>
      </c>
      <c r="E27" s="7">
        <f t="shared" si="0"/>
        <v>45462387.63650804</v>
      </c>
      <c r="F27" s="69"/>
      <c r="G27" s="20" t="s">
        <v>54</v>
      </c>
      <c r="H27" s="46">
        <v>541000</v>
      </c>
      <c r="I27" s="69"/>
      <c r="J27" s="69"/>
      <c r="K27" s="69"/>
    </row>
    <row r="28" spans="1:11">
      <c r="A28" s="3">
        <v>16</v>
      </c>
      <c r="B28" s="7">
        <f t="shared" si="1"/>
        <v>45462387.63650804</v>
      </c>
      <c r="C28" s="7">
        <f t="shared" si="2"/>
        <v>1545721.1796412736</v>
      </c>
      <c r="D28" s="7">
        <f t="shared" si="3"/>
        <v>662755.67860962707</v>
      </c>
      <c r="E28" s="7">
        <f t="shared" si="0"/>
        <v>44799631.957898416</v>
      </c>
      <c r="F28" s="69"/>
      <c r="G28" s="20" t="s">
        <v>55</v>
      </c>
      <c r="H28" s="46">
        <v>209000</v>
      </c>
      <c r="I28" s="69"/>
      <c r="J28" s="69"/>
      <c r="K28" s="69"/>
    </row>
    <row r="29" spans="1:11">
      <c r="A29" s="3">
        <v>17</v>
      </c>
      <c r="B29" s="7">
        <f t="shared" si="1"/>
        <v>44799631.957898416</v>
      </c>
      <c r="C29" s="7">
        <f t="shared" si="2"/>
        <v>1523187.4865685462</v>
      </c>
      <c r="D29" s="7">
        <f t="shared" si="3"/>
        <v>685289.37168235448</v>
      </c>
      <c r="E29" s="7">
        <f t="shared" si="0"/>
        <v>44114342.586216062</v>
      </c>
      <c r="F29" s="69"/>
      <c r="G29" s="20" t="s">
        <v>56</v>
      </c>
      <c r="H29" s="55">
        <v>0</v>
      </c>
      <c r="I29" s="69"/>
      <c r="J29" s="69"/>
      <c r="K29" s="69"/>
    </row>
    <row r="30" spans="1:11">
      <c r="A30" s="3">
        <v>18</v>
      </c>
      <c r="B30" s="7">
        <f t="shared" si="1"/>
        <v>44114342.586216062</v>
      </c>
      <c r="C30" s="7">
        <f t="shared" si="2"/>
        <v>1499887.6479313462</v>
      </c>
      <c r="D30" s="7">
        <f t="shared" si="3"/>
        <v>708589.21031955443</v>
      </c>
      <c r="E30" s="7">
        <f t="shared" si="0"/>
        <v>43405753.375896506</v>
      </c>
      <c r="F30" s="69"/>
      <c r="G30" s="20"/>
      <c r="H30" s="46">
        <f>SUM(H24:H29)</f>
        <v>1565000</v>
      </c>
      <c r="I30" s="69"/>
      <c r="J30" s="69"/>
      <c r="K30" s="69"/>
    </row>
    <row r="31" spans="1:11">
      <c r="A31" s="3">
        <v>19</v>
      </c>
      <c r="B31" s="7">
        <f t="shared" si="1"/>
        <v>43405753.375896506</v>
      </c>
      <c r="C31" s="7">
        <f t="shared" si="2"/>
        <v>1475795.6147804812</v>
      </c>
      <c r="D31" s="7">
        <f t="shared" si="3"/>
        <v>732681.24347041943</v>
      </c>
      <c r="E31" s="7">
        <f t="shared" si="0"/>
        <v>42673072.132426083</v>
      </c>
      <c r="F31" s="69"/>
      <c r="G31" s="20"/>
      <c r="H31" s="21"/>
      <c r="I31" s="69"/>
      <c r="J31" s="69"/>
      <c r="K31" s="69"/>
    </row>
    <row r="32" spans="1:11">
      <c r="A32" s="3">
        <v>20</v>
      </c>
      <c r="B32" s="7">
        <f t="shared" si="1"/>
        <v>42673072.132426083</v>
      </c>
      <c r="C32" s="7">
        <f t="shared" si="2"/>
        <v>1450884.452502487</v>
      </c>
      <c r="D32" s="7">
        <f t="shared" si="3"/>
        <v>757592.40574841364</v>
      </c>
      <c r="E32" s="7">
        <f t="shared" si="0"/>
        <v>41915479.726677671</v>
      </c>
      <c r="F32" s="69"/>
      <c r="G32" s="12" t="s">
        <v>57</v>
      </c>
      <c r="H32" s="48">
        <f>H21-H30</f>
        <v>2196230</v>
      </c>
      <c r="I32" s="69"/>
      <c r="J32" s="69"/>
      <c r="K32" s="69"/>
    </row>
    <row r="33" spans="1:10">
      <c r="A33" s="3">
        <v>21</v>
      </c>
      <c r="B33" s="7">
        <f t="shared" si="1"/>
        <v>41915479.726677671</v>
      </c>
      <c r="C33" s="7">
        <f t="shared" si="2"/>
        <v>1425126.3107070408</v>
      </c>
      <c r="D33" s="7">
        <f t="shared" si="3"/>
        <v>783350.54754385981</v>
      </c>
      <c r="E33" s="7">
        <f t="shared" si="0"/>
        <v>41132129.17913381</v>
      </c>
      <c r="F33" s="69"/>
      <c r="G33" s="20"/>
      <c r="H33" s="21"/>
      <c r="I33" s="69"/>
      <c r="J33" s="69"/>
    </row>
    <row r="34" spans="1:10">
      <c r="A34" s="3">
        <v>22</v>
      </c>
      <c r="B34" s="7">
        <f t="shared" si="1"/>
        <v>41132129.17913381</v>
      </c>
      <c r="C34" s="7">
        <f t="shared" si="2"/>
        <v>1398492.3920905497</v>
      </c>
      <c r="D34" s="7">
        <f t="shared" si="3"/>
        <v>809984.46616035094</v>
      </c>
      <c r="E34" s="7">
        <f t="shared" si="0"/>
        <v>40322144.712973461</v>
      </c>
      <c r="F34" s="69"/>
      <c r="G34" s="12" t="s">
        <v>58</v>
      </c>
      <c r="H34" s="47">
        <f>B3*B4</f>
        <v>1807106.4260000002</v>
      </c>
      <c r="I34" s="69"/>
      <c r="J34" s="69"/>
    </row>
    <row r="35" spans="1:10">
      <c r="A35" s="3">
        <v>23</v>
      </c>
      <c r="B35" s="7">
        <f t="shared" si="1"/>
        <v>40322144.712973461</v>
      </c>
      <c r="C35" s="7">
        <f t="shared" si="2"/>
        <v>1370952.9202410977</v>
      </c>
      <c r="D35" s="7">
        <f t="shared" si="3"/>
        <v>837523.93800980295</v>
      </c>
      <c r="E35" s="7">
        <f t="shared" si="0"/>
        <v>39484620.774963655</v>
      </c>
      <c r="F35" s="69"/>
      <c r="G35" s="20"/>
      <c r="H35" s="21"/>
      <c r="I35" s="69"/>
      <c r="J35" s="69"/>
    </row>
    <row r="36" spans="1:10">
      <c r="A36" s="3">
        <v>24</v>
      </c>
      <c r="B36" s="7">
        <f t="shared" si="1"/>
        <v>39484620.774963655</v>
      </c>
      <c r="C36" s="7">
        <f t="shared" si="2"/>
        <v>1342477.1063487644</v>
      </c>
      <c r="D36" s="7">
        <f t="shared" si="3"/>
        <v>865999.75190213625</v>
      </c>
      <c r="E36" s="7">
        <f t="shared" si="0"/>
        <v>38618621.023061521</v>
      </c>
      <c r="F36" s="69"/>
      <c r="G36" s="12" t="s">
        <v>59</v>
      </c>
      <c r="H36" s="48">
        <f>H32-H34</f>
        <v>389123.57399999979</v>
      </c>
      <c r="I36" s="69"/>
      <c r="J36" s="69"/>
    </row>
    <row r="37" spans="1:10">
      <c r="A37" s="3">
        <v>25</v>
      </c>
      <c r="B37" s="7">
        <f t="shared" si="1"/>
        <v>38618621.023061521</v>
      </c>
      <c r="C37" s="7">
        <f t="shared" si="2"/>
        <v>1313033.1147840917</v>
      </c>
      <c r="D37" s="7">
        <f t="shared" si="3"/>
        <v>895443.74346680893</v>
      </c>
      <c r="E37" s="7">
        <f t="shared" si="0"/>
        <v>37723177.279594712</v>
      </c>
      <c r="F37" s="69"/>
      <c r="G37" s="12"/>
      <c r="H37" s="21"/>
      <c r="I37" s="69"/>
      <c r="J37" s="69"/>
    </row>
    <row r="38" spans="1:10">
      <c r="A38" s="3">
        <v>26</v>
      </c>
      <c r="B38" s="7">
        <f t="shared" si="1"/>
        <v>37723177.279594712</v>
      </c>
      <c r="C38" s="7">
        <f t="shared" si="2"/>
        <v>1282588.0275062204</v>
      </c>
      <c r="D38" s="7">
        <f t="shared" si="3"/>
        <v>925888.83074468025</v>
      </c>
      <c r="E38" s="7">
        <f t="shared" si="0"/>
        <v>36797288.448850028</v>
      </c>
      <c r="F38" s="69"/>
      <c r="G38" s="12" t="s">
        <v>39</v>
      </c>
      <c r="H38" s="49">
        <f>H36</f>
        <v>389123.57399999979</v>
      </c>
      <c r="I38" s="69"/>
      <c r="J38" s="69"/>
    </row>
    <row r="39" spans="1:10">
      <c r="A39" s="3">
        <v>27</v>
      </c>
      <c r="B39" s="7">
        <f t="shared" si="1"/>
        <v>36797288.448850028</v>
      </c>
      <c r="C39" s="7">
        <f t="shared" si="2"/>
        <v>1251107.807260901</v>
      </c>
      <c r="D39" s="7">
        <f t="shared" si="3"/>
        <v>957369.05098999967</v>
      </c>
      <c r="E39" s="7">
        <f t="shared" si="0"/>
        <v>35839919.397860028</v>
      </c>
      <c r="F39" s="69"/>
      <c r="G39" s="12"/>
      <c r="H39" s="21"/>
      <c r="I39" s="69"/>
      <c r="J39" s="69"/>
    </row>
    <row r="40" spans="1:10">
      <c r="A40" s="3">
        <v>28</v>
      </c>
      <c r="B40" s="7">
        <f t="shared" si="1"/>
        <v>35839919.397860028</v>
      </c>
      <c r="C40" s="7">
        <f t="shared" si="2"/>
        <v>1218557.2595272411</v>
      </c>
      <c r="D40" s="7">
        <f t="shared" si="3"/>
        <v>989919.59872365952</v>
      </c>
      <c r="E40" s="7">
        <f t="shared" si="0"/>
        <v>34849999.79913637</v>
      </c>
      <c r="F40" s="69"/>
      <c r="G40" s="13" t="s">
        <v>60</v>
      </c>
      <c r="H40" s="50">
        <f>H36-H38</f>
        <v>0</v>
      </c>
      <c r="I40" s="69"/>
      <c r="J40" s="69"/>
    </row>
    <row r="41" spans="1:10">
      <c r="A41" s="3">
        <v>29</v>
      </c>
      <c r="B41" s="7">
        <f t="shared" si="1"/>
        <v>34849999.79913637</v>
      </c>
      <c r="C41" s="7">
        <f t="shared" si="2"/>
        <v>1184899.9931706367</v>
      </c>
      <c r="D41" s="7">
        <f t="shared" si="3"/>
        <v>1023576.8650802639</v>
      </c>
      <c r="E41" s="7">
        <f t="shared" si="0"/>
        <v>33826422.934056103</v>
      </c>
      <c r="F41" s="69"/>
      <c r="G41" s="69"/>
      <c r="H41" s="69"/>
      <c r="I41" s="69"/>
      <c r="J41" s="69"/>
    </row>
    <row r="42" spans="1:10">
      <c r="A42" s="3">
        <v>30</v>
      </c>
      <c r="B42" s="7">
        <f t="shared" si="1"/>
        <v>33826422.934056103</v>
      </c>
      <c r="C42" s="7">
        <f t="shared" si="2"/>
        <v>1150098.3797579077</v>
      </c>
      <c r="D42" s="7">
        <f t="shared" si="3"/>
        <v>1058378.4784929929</v>
      </c>
      <c r="E42" s="7">
        <f t="shared" si="0"/>
        <v>32768044.455563109</v>
      </c>
      <c r="F42" s="69"/>
      <c r="G42" s="69"/>
      <c r="H42" s="69"/>
      <c r="I42" s="69"/>
      <c r="J42" s="69"/>
    </row>
    <row r="43" spans="1:10" ht="15.75">
      <c r="A43" s="3">
        <v>31</v>
      </c>
      <c r="B43" s="7">
        <f t="shared" si="1"/>
        <v>32768044.455563109</v>
      </c>
      <c r="C43" s="7">
        <f t="shared" si="2"/>
        <v>1114113.5114891457</v>
      </c>
      <c r="D43" s="7">
        <f t="shared" si="3"/>
        <v>1094363.3467617549</v>
      </c>
      <c r="E43" s="7">
        <f t="shared" si="0"/>
        <v>31673681.108801354</v>
      </c>
      <c r="F43" s="69"/>
      <c r="G43" s="93" t="s">
        <v>61</v>
      </c>
      <c r="H43" s="94"/>
      <c r="I43" s="83" t="s">
        <v>62</v>
      </c>
      <c r="J43" s="84"/>
    </row>
    <row r="44" spans="1:10" ht="15" customHeight="1">
      <c r="A44" s="3">
        <v>32</v>
      </c>
      <c r="B44" s="7">
        <f t="shared" si="1"/>
        <v>31673681.108801354</v>
      </c>
      <c r="C44" s="7">
        <f t="shared" si="2"/>
        <v>1076905.1576992462</v>
      </c>
      <c r="D44" s="7">
        <f t="shared" si="3"/>
        <v>1131571.7005516544</v>
      </c>
      <c r="E44" s="7">
        <f t="shared" si="0"/>
        <v>30542109.408249699</v>
      </c>
      <c r="F44" s="69"/>
      <c r="G44" s="85" t="s">
        <v>63</v>
      </c>
      <c r="H44" s="86"/>
      <c r="I44" s="85" t="s">
        <v>64</v>
      </c>
      <c r="J44" s="86"/>
    </row>
    <row r="45" spans="1:10" ht="15" customHeight="1">
      <c r="A45" s="3">
        <v>33</v>
      </c>
      <c r="B45" s="7">
        <f t="shared" si="1"/>
        <v>30542109.408249699</v>
      </c>
      <c r="C45" s="7">
        <f t="shared" si="2"/>
        <v>1038431.7198804899</v>
      </c>
      <c r="D45" s="7">
        <f t="shared" si="3"/>
        <v>1170045.1383704108</v>
      </c>
      <c r="E45" s="7">
        <f t="shared" si="0"/>
        <v>29372064.269879289</v>
      </c>
      <c r="F45" s="69"/>
      <c r="G45" s="78" t="s">
        <v>65</v>
      </c>
      <c r="H45" s="79"/>
      <c r="I45" s="87" t="s">
        <v>66</v>
      </c>
      <c r="J45" s="88"/>
    </row>
    <row r="46" spans="1:10" ht="15" customHeight="1">
      <c r="A46" s="3">
        <v>34</v>
      </c>
      <c r="B46" s="7">
        <f t="shared" si="1"/>
        <v>29372064.269879289</v>
      </c>
      <c r="C46" s="7">
        <f t="shared" si="2"/>
        <v>998650.18517589592</v>
      </c>
      <c r="D46" s="7">
        <f t="shared" si="3"/>
        <v>1209826.6730750047</v>
      </c>
      <c r="E46" s="7">
        <f t="shared" si="0"/>
        <v>28162237.596804284</v>
      </c>
      <c r="F46" s="69"/>
      <c r="G46" s="87"/>
      <c r="H46" s="88"/>
      <c r="I46" s="89" t="s">
        <v>67</v>
      </c>
      <c r="J46" s="90"/>
    </row>
    <row r="47" spans="1:10">
      <c r="A47" s="3">
        <v>35</v>
      </c>
      <c r="B47" s="7">
        <f t="shared" si="1"/>
        <v>28162237.596804284</v>
      </c>
      <c r="C47" s="7">
        <f t="shared" si="2"/>
        <v>957516.07829134574</v>
      </c>
      <c r="D47" s="7">
        <f t="shared" si="3"/>
        <v>1250960.7799595548</v>
      </c>
      <c r="E47" s="7">
        <f t="shared" si="0"/>
        <v>26911276.816844728</v>
      </c>
      <c r="F47" s="69"/>
      <c r="G47" s="72"/>
      <c r="H47" s="24"/>
      <c r="I47" s="80" t="s">
        <v>68</v>
      </c>
      <c r="J47" s="81"/>
    </row>
    <row r="48" spans="1:10">
      <c r="A48" s="3">
        <v>36</v>
      </c>
      <c r="B48" s="7">
        <f t="shared" si="1"/>
        <v>26911276.816844728</v>
      </c>
      <c r="C48" s="7">
        <f t="shared" si="2"/>
        <v>914983.41177272086</v>
      </c>
      <c r="D48" s="7">
        <f t="shared" si="3"/>
        <v>1293493.4464781797</v>
      </c>
      <c r="E48" s="7">
        <f t="shared" si="0"/>
        <v>25617783.370366547</v>
      </c>
      <c r="F48" s="69"/>
      <c r="G48" s="69"/>
      <c r="H48" s="69"/>
      <c r="I48" s="69"/>
      <c r="J48" s="69"/>
    </row>
    <row r="49" spans="1:5">
      <c r="A49" s="3">
        <v>37</v>
      </c>
      <c r="B49" s="7">
        <f t="shared" si="1"/>
        <v>25617783.370366547</v>
      </c>
      <c r="C49" s="7">
        <f t="shared" si="2"/>
        <v>871004.63459246268</v>
      </c>
      <c r="D49" s="7">
        <f t="shared" si="3"/>
        <v>1337472.2236584378</v>
      </c>
      <c r="E49" s="7">
        <f t="shared" si="0"/>
        <v>24280311.146708108</v>
      </c>
    </row>
    <row r="50" spans="1:5">
      <c r="A50" s="3">
        <v>38</v>
      </c>
      <c r="B50" s="7">
        <f t="shared" si="1"/>
        <v>24280311.146708108</v>
      </c>
      <c r="C50" s="7">
        <f t="shared" si="2"/>
        <v>825530.57898807572</v>
      </c>
      <c r="D50" s="7">
        <f t="shared" si="3"/>
        <v>1382946.2792628249</v>
      </c>
      <c r="E50" s="7">
        <f t="shared" si="0"/>
        <v>22897364.867445283</v>
      </c>
    </row>
    <row r="51" spans="1:5">
      <c r="A51" s="3">
        <v>39</v>
      </c>
      <c r="B51" s="7">
        <f t="shared" si="1"/>
        <v>22897364.867445283</v>
      </c>
      <c r="C51" s="7">
        <f t="shared" si="2"/>
        <v>778510.40549313964</v>
      </c>
      <c r="D51" s="7">
        <f t="shared" si="3"/>
        <v>1429966.4527577609</v>
      </c>
      <c r="E51" s="7">
        <f t="shared" si="0"/>
        <v>21467398.414687522</v>
      </c>
    </row>
    <row r="52" spans="1:5">
      <c r="A52" s="3">
        <v>40</v>
      </c>
      <c r="B52" s="7">
        <f t="shared" si="1"/>
        <v>21467398.414687522</v>
      </c>
      <c r="C52" s="7">
        <f t="shared" si="2"/>
        <v>729891.54609937582</v>
      </c>
      <c r="D52" s="7">
        <f t="shared" si="3"/>
        <v>1478585.3121515247</v>
      </c>
      <c r="E52" s="7">
        <f t="shared" si="0"/>
        <v>19988813.102535997</v>
      </c>
    </row>
    <row r="53" spans="1:5">
      <c r="A53" s="3">
        <v>41</v>
      </c>
      <c r="B53" s="7">
        <f t="shared" si="1"/>
        <v>19988813.102535997</v>
      </c>
      <c r="C53" s="7">
        <f t="shared" si="2"/>
        <v>679619.64548622398</v>
      </c>
      <c r="D53" s="7">
        <f t="shared" si="3"/>
        <v>1528857.2127646767</v>
      </c>
      <c r="E53" s="7">
        <f t="shared" si="0"/>
        <v>18459955.88977132</v>
      </c>
    </row>
    <row r="54" spans="1:5">
      <c r="A54" s="3">
        <v>42</v>
      </c>
      <c r="B54" s="7">
        <f t="shared" si="1"/>
        <v>18459955.88977132</v>
      </c>
      <c r="C54" s="7">
        <f t="shared" si="2"/>
        <v>627638.50025222497</v>
      </c>
      <c r="D54" s="7">
        <f t="shared" si="3"/>
        <v>1580838.3579986757</v>
      </c>
      <c r="E54" s="7">
        <f t="shared" si="0"/>
        <v>16879117.531772643</v>
      </c>
    </row>
    <row r="55" spans="1:5">
      <c r="A55" s="3">
        <v>43</v>
      </c>
      <c r="B55" s="7">
        <f t="shared" si="1"/>
        <v>16879117.531772643</v>
      </c>
      <c r="C55" s="7">
        <f t="shared" si="2"/>
        <v>573889.99608026992</v>
      </c>
      <c r="D55" s="7">
        <f t="shared" si="3"/>
        <v>1634586.8621706306</v>
      </c>
      <c r="E55" s="7">
        <f t="shared" si="0"/>
        <v>15244530.669602012</v>
      </c>
    </row>
    <row r="56" spans="1:5">
      <c r="A56" s="3">
        <v>44</v>
      </c>
      <c r="B56" s="7">
        <f t="shared" si="1"/>
        <v>15244530.669602012</v>
      </c>
      <c r="C56" s="7">
        <f t="shared" si="2"/>
        <v>518314.04276646848</v>
      </c>
      <c r="D56" s="7">
        <f t="shared" si="3"/>
        <v>1690162.815484432</v>
      </c>
      <c r="E56" s="7">
        <f t="shared" si="0"/>
        <v>13554367.85411758</v>
      </c>
    </row>
    <row r="57" spans="1:5">
      <c r="A57" s="3">
        <v>45</v>
      </c>
      <c r="B57" s="7">
        <f t="shared" si="1"/>
        <v>13554367.85411758</v>
      </c>
      <c r="C57" s="7">
        <f t="shared" si="2"/>
        <v>460848.50703999773</v>
      </c>
      <c r="D57" s="7">
        <f t="shared" si="3"/>
        <v>1747628.3512109029</v>
      </c>
      <c r="E57" s="7">
        <f t="shared" si="0"/>
        <v>11806739.502906676</v>
      </c>
    </row>
    <row r="58" spans="1:5">
      <c r="A58" s="3">
        <v>46</v>
      </c>
      <c r="B58" s="7">
        <f t="shared" si="1"/>
        <v>11806739.502906676</v>
      </c>
      <c r="C58" s="7">
        <f t="shared" si="2"/>
        <v>401429.14309882704</v>
      </c>
      <c r="D58" s="7">
        <f t="shared" si="3"/>
        <v>1807047.7151520737</v>
      </c>
      <c r="E58" s="7">
        <f t="shared" si="0"/>
        <v>9999691.7877546027</v>
      </c>
    </row>
    <row r="59" spans="1:5">
      <c r="A59" s="3">
        <v>47</v>
      </c>
      <c r="B59" s="7">
        <f t="shared" ref="B59:B60" si="4">E58</f>
        <v>9999691.7877546027</v>
      </c>
      <c r="C59" s="7">
        <f t="shared" ref="C59:C60" si="5">B59*$B$4</f>
        <v>339989.52078365651</v>
      </c>
      <c r="D59" s="7">
        <f t="shared" ref="D59:D60" si="6">$E$8-C59</f>
        <v>1868487.3374672441</v>
      </c>
      <c r="E59" s="7">
        <f t="shared" ref="E59:E60" si="7">B59-D59</f>
        <v>8131204.4502873588</v>
      </c>
    </row>
    <row r="60" spans="1:5">
      <c r="A60" s="3">
        <v>48</v>
      </c>
      <c r="B60" s="7">
        <f t="shared" si="4"/>
        <v>8131204.4502873588</v>
      </c>
      <c r="C60" s="7">
        <f t="shared" si="5"/>
        <v>276460.95130977023</v>
      </c>
      <c r="D60" s="7">
        <f t="shared" si="6"/>
        <v>1932015.9069411303</v>
      </c>
      <c r="E60" s="7">
        <f t="shared" si="7"/>
        <v>6199188.5433462281</v>
      </c>
    </row>
    <row r="61" spans="1:5">
      <c r="A61" s="3">
        <v>49</v>
      </c>
      <c r="B61" s="7">
        <f t="shared" ref="B61:B63" si="8">E60</f>
        <v>6199188.5433462281</v>
      </c>
      <c r="C61" s="7">
        <f t="shared" ref="C61:C63" si="9">B61*$B$4</f>
        <v>210772.41047377177</v>
      </c>
      <c r="D61" s="7">
        <f t="shared" ref="D61:D63" si="10">$E$8-C61</f>
        <v>1997704.4477771288</v>
      </c>
      <c r="E61" s="7">
        <f t="shared" ref="E61:E63" si="11">B61-D61</f>
        <v>4201484.0955690993</v>
      </c>
    </row>
    <row r="62" spans="1:5">
      <c r="A62" s="3">
        <v>50</v>
      </c>
      <c r="B62" s="7">
        <f t="shared" si="8"/>
        <v>4201484.0955690993</v>
      </c>
      <c r="C62" s="7">
        <f t="shared" si="9"/>
        <v>142850.4592493494</v>
      </c>
      <c r="D62" s="7">
        <f t="shared" si="10"/>
        <v>2065626.3990015513</v>
      </c>
      <c r="E62" s="7">
        <f t="shared" si="11"/>
        <v>2135857.696567548</v>
      </c>
    </row>
    <row r="63" spans="1:5">
      <c r="A63" s="3">
        <v>51</v>
      </c>
      <c r="B63" s="7">
        <f t="shared" si="8"/>
        <v>2135857.696567548</v>
      </c>
      <c r="C63" s="7">
        <f t="shared" si="9"/>
        <v>72619.161683296639</v>
      </c>
      <c r="D63" s="7">
        <f t="shared" si="10"/>
        <v>2135857.6965676039</v>
      </c>
      <c r="E63" s="7">
        <f t="shared" si="11"/>
        <v>-5.5879354476928711E-8</v>
      </c>
    </row>
  </sheetData>
  <mergeCells count="10">
    <mergeCell ref="I47:J47"/>
    <mergeCell ref="A1:J2"/>
    <mergeCell ref="I43:J43"/>
    <mergeCell ref="I44:J44"/>
    <mergeCell ref="I45:J45"/>
    <mergeCell ref="I46:J46"/>
    <mergeCell ref="G46:H46"/>
    <mergeCell ref="G12:H12"/>
    <mergeCell ref="G43:H43"/>
    <mergeCell ref="G44:H4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>
      <selection activeCell="C40" sqref="C40"/>
    </sheetView>
  </sheetViews>
  <sheetFormatPr defaultRowHeight="15"/>
  <cols>
    <col min="1" max="1" width="18.28515625" customWidth="1"/>
    <col min="2" max="2" width="14.42578125" customWidth="1"/>
    <col min="3" max="3" width="10.85546875" bestFit="1" customWidth="1"/>
    <col min="4" max="4" width="10.140625" bestFit="1" customWidth="1"/>
    <col min="5" max="5" width="13.5703125" bestFit="1" customWidth="1"/>
    <col min="7" max="7" width="35.42578125" bestFit="1" customWidth="1"/>
    <col min="8" max="8" width="18" customWidth="1"/>
    <col min="9" max="9" width="29.140625" customWidth="1"/>
    <col min="10" max="10" width="26.28515625" customWidth="1"/>
  </cols>
  <sheetData>
    <row r="1" spans="1:10" s="69" customForma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69" customForma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>
      <c r="A3" s="11" t="s">
        <v>25</v>
      </c>
      <c r="B3" s="25">
        <f>Finansieringsbehov!C18</f>
        <v>53150189</v>
      </c>
      <c r="C3" s="69"/>
      <c r="D3" s="69"/>
      <c r="E3" s="69"/>
      <c r="F3" s="69"/>
      <c r="G3" s="69"/>
      <c r="H3" s="69"/>
      <c r="I3" s="69"/>
      <c r="J3" s="69"/>
    </row>
    <row r="4" spans="1:10">
      <c r="A4" s="12" t="s">
        <v>26</v>
      </c>
      <c r="B4" s="26">
        <v>3.4000000000000002E-2</v>
      </c>
      <c r="C4" s="69"/>
      <c r="D4" s="69"/>
      <c r="E4" s="69"/>
      <c r="F4" s="69"/>
      <c r="G4" s="69"/>
      <c r="H4" s="69"/>
      <c r="I4" s="69"/>
      <c r="J4" s="69"/>
    </row>
    <row r="5" spans="1:10">
      <c r="A5" s="12" t="s">
        <v>27</v>
      </c>
      <c r="B5" s="44">
        <v>30</v>
      </c>
      <c r="C5" s="69"/>
      <c r="D5" s="69"/>
      <c r="E5" s="69"/>
      <c r="F5" s="69"/>
      <c r="G5" s="69"/>
      <c r="H5" s="69"/>
      <c r="I5" s="69"/>
      <c r="J5" s="69"/>
    </row>
    <row r="6" spans="1:10">
      <c r="A6" s="13" t="s">
        <v>28</v>
      </c>
      <c r="B6" s="27">
        <v>14000</v>
      </c>
      <c r="C6" s="69"/>
      <c r="D6" s="69"/>
      <c r="E6" s="69"/>
      <c r="F6" s="69"/>
      <c r="G6" s="69"/>
      <c r="H6" s="69"/>
      <c r="I6" s="69"/>
      <c r="J6" s="69"/>
    </row>
    <row r="7" spans="1:10">
      <c r="A7" s="69"/>
      <c r="B7" s="69"/>
      <c r="C7" s="69"/>
      <c r="D7" s="69"/>
      <c r="E7" s="69"/>
      <c r="F7" s="69"/>
      <c r="G7" s="34" t="s">
        <v>29</v>
      </c>
      <c r="H7" s="35" t="s">
        <v>30</v>
      </c>
      <c r="I7" s="36" t="s">
        <v>31</v>
      </c>
      <c r="J7" s="35" t="s">
        <v>32</v>
      </c>
    </row>
    <row r="8" spans="1:10">
      <c r="A8" s="69" t="s">
        <v>33</v>
      </c>
      <c r="B8" s="69"/>
      <c r="C8" s="69"/>
      <c r="D8" s="69"/>
      <c r="E8" s="4">
        <f>B3*(B4/(1-(1+B4)^-B5))</f>
        <v>2853753.6169586028</v>
      </c>
      <c r="F8" s="69"/>
      <c r="G8" s="30">
        <f>H32</f>
        <v>2196230</v>
      </c>
      <c r="H8" s="32">
        <f>E8-G8</f>
        <v>657523.6169586028</v>
      </c>
      <c r="I8" s="31">
        <f>H8/6236</f>
        <v>105.43996423325895</v>
      </c>
      <c r="J8" s="33">
        <f>I8/12</f>
        <v>8.7866636861049123</v>
      </c>
    </row>
    <row r="9" spans="1:10">
      <c r="A9" s="69" t="s">
        <v>34</v>
      </c>
      <c r="B9" s="69"/>
      <c r="C9" s="69"/>
      <c r="D9" s="69"/>
      <c r="E9" s="4">
        <f>E8/12</f>
        <v>237812.80141321689</v>
      </c>
      <c r="F9" s="69"/>
      <c r="G9" s="69"/>
      <c r="H9" s="69"/>
      <c r="I9" s="69"/>
      <c r="J9" s="69"/>
    </row>
    <row r="10" spans="1:10">
      <c r="A10" s="69" t="s">
        <v>35</v>
      </c>
      <c r="B10" s="69"/>
      <c r="C10" s="69"/>
      <c r="D10" s="69"/>
      <c r="E10" s="4">
        <f>SUM(C13:C42)</f>
        <v>32462419.508758012</v>
      </c>
      <c r="F10" s="69"/>
      <c r="G10" s="69"/>
      <c r="H10" s="69"/>
      <c r="I10" s="69"/>
      <c r="J10" s="69"/>
    </row>
    <row r="11" spans="1:10">
      <c r="A11" s="69"/>
      <c r="B11" s="69"/>
      <c r="C11" s="69"/>
      <c r="D11" s="69"/>
      <c r="E11" s="4"/>
      <c r="F11" s="69"/>
      <c r="G11" s="69"/>
      <c r="H11" s="69"/>
      <c r="I11" s="69"/>
      <c r="J11" s="69"/>
    </row>
    <row r="12" spans="1:10" ht="15.75">
      <c r="A12" s="6" t="s">
        <v>36</v>
      </c>
      <c r="B12" s="6" t="s">
        <v>37</v>
      </c>
      <c r="C12" s="6" t="s">
        <v>38</v>
      </c>
      <c r="D12" s="6" t="s">
        <v>39</v>
      </c>
      <c r="E12" s="6" t="s">
        <v>40</v>
      </c>
      <c r="F12" s="69"/>
      <c r="G12" s="91" t="s">
        <v>41</v>
      </c>
      <c r="H12" s="92"/>
      <c r="I12" s="69"/>
      <c r="J12" s="69"/>
    </row>
    <row r="13" spans="1:10" ht="15.75">
      <c r="A13" s="3">
        <v>1</v>
      </c>
      <c r="B13" s="7">
        <f>B3</f>
        <v>53150189</v>
      </c>
      <c r="C13" s="7">
        <f>B13*$B$4</f>
        <v>1807106.4260000002</v>
      </c>
      <c r="D13" s="7">
        <f>$E$8-C13</f>
        <v>1046647.1909586026</v>
      </c>
      <c r="E13" s="7">
        <f>B13-D13</f>
        <v>52103541.809041396</v>
      </c>
      <c r="F13" s="69"/>
      <c r="G13" s="45" t="s">
        <v>42</v>
      </c>
      <c r="H13" s="21"/>
      <c r="I13" s="69"/>
      <c r="J13" s="69"/>
    </row>
    <row r="14" spans="1:10">
      <c r="A14" s="3">
        <v>2</v>
      </c>
      <c r="B14" s="7">
        <f>E13</f>
        <v>52103541.809041396</v>
      </c>
      <c r="C14" s="7">
        <f>B14*$B$4</f>
        <v>1771520.4215074077</v>
      </c>
      <c r="D14" s="7">
        <f>$E$8-C14</f>
        <v>1082233.1954511951</v>
      </c>
      <c r="E14" s="7">
        <f t="shared" ref="E14:E42" si="0">B14-D14</f>
        <v>51021308.613590203</v>
      </c>
      <c r="F14" s="69"/>
      <c r="G14" s="20" t="s">
        <v>43</v>
      </c>
      <c r="H14" s="46">
        <v>2104000</v>
      </c>
      <c r="I14" s="69"/>
      <c r="J14" s="69"/>
    </row>
    <row r="15" spans="1:10">
      <c r="A15" s="3">
        <v>3</v>
      </c>
      <c r="B15" s="7">
        <f t="shared" ref="B15:B42" si="1">E14</f>
        <v>51021308.613590203</v>
      </c>
      <c r="C15" s="7">
        <f t="shared" ref="C15:C42" si="2">B15*$B$4</f>
        <v>1734724.492862067</v>
      </c>
      <c r="D15" s="7">
        <f t="shared" ref="D15:D42" si="3">$E$8-C15</f>
        <v>1119029.1240965358</v>
      </c>
      <c r="E15" s="7">
        <f t="shared" si="0"/>
        <v>49902279.489493668</v>
      </c>
      <c r="F15" s="69"/>
      <c r="G15" s="20" t="s">
        <v>44</v>
      </c>
      <c r="H15" s="46">
        <v>300000</v>
      </c>
      <c r="I15" s="69"/>
      <c r="J15" s="69"/>
    </row>
    <row r="16" spans="1:10">
      <c r="A16" s="3">
        <v>4</v>
      </c>
      <c r="B16" s="7">
        <f t="shared" si="1"/>
        <v>49902279.489493668</v>
      </c>
      <c r="C16" s="7">
        <f t="shared" si="2"/>
        <v>1696677.5026427847</v>
      </c>
      <c r="D16" s="7">
        <f t="shared" si="3"/>
        <v>1157076.1143158181</v>
      </c>
      <c r="E16" s="7">
        <f t="shared" si="0"/>
        <v>48745203.375177853</v>
      </c>
      <c r="F16" s="69"/>
      <c r="G16" s="20" t="s">
        <v>45</v>
      </c>
      <c r="H16" s="46">
        <f>77*500*12</f>
        <v>462000</v>
      </c>
      <c r="I16" s="69"/>
      <c r="J16" s="69"/>
    </row>
    <row r="17" spans="1:8">
      <c r="A17" s="3">
        <v>5</v>
      </c>
      <c r="B17" s="7">
        <f t="shared" si="1"/>
        <v>48745203.375177853</v>
      </c>
      <c r="C17" s="7">
        <f t="shared" si="2"/>
        <v>1657336.9147560471</v>
      </c>
      <c r="D17" s="7">
        <f t="shared" si="3"/>
        <v>1196416.7022025557</v>
      </c>
      <c r="E17" s="7">
        <f t="shared" si="0"/>
        <v>47548786.672975294</v>
      </c>
      <c r="F17" s="69"/>
      <c r="G17" s="20" t="s">
        <v>46</v>
      </c>
      <c r="H17" s="46">
        <f>33*650*12</f>
        <v>257400</v>
      </c>
    </row>
    <row r="18" spans="1:8">
      <c r="A18" s="3">
        <v>6</v>
      </c>
      <c r="B18" s="7">
        <f t="shared" si="1"/>
        <v>47548786.672975294</v>
      </c>
      <c r="C18" s="7">
        <f t="shared" si="2"/>
        <v>1616658.7468811602</v>
      </c>
      <c r="D18" s="7">
        <f t="shared" si="3"/>
        <v>1237094.8700774426</v>
      </c>
      <c r="E18" s="7">
        <f t="shared" si="0"/>
        <v>46311691.802897848</v>
      </c>
      <c r="F18" s="69"/>
      <c r="G18" s="20" t="s">
        <v>47</v>
      </c>
      <c r="H18" s="46">
        <f>1000*401.83</f>
        <v>401830</v>
      </c>
    </row>
    <row r="19" spans="1:8" ht="15" customHeight="1">
      <c r="A19" s="3">
        <v>7</v>
      </c>
      <c r="B19" s="7">
        <f t="shared" si="1"/>
        <v>46311691.802897848</v>
      </c>
      <c r="C19" s="7">
        <f t="shared" si="2"/>
        <v>1574597.521298527</v>
      </c>
      <c r="D19" s="7">
        <f t="shared" si="3"/>
        <v>1279156.0956600758</v>
      </c>
      <c r="E19" s="7">
        <f t="shared" si="0"/>
        <v>45032535.707237773</v>
      </c>
      <c r="F19" s="69"/>
      <c r="G19" s="20" t="s">
        <v>48</v>
      </c>
      <c r="H19" s="46">
        <v>193000</v>
      </c>
    </row>
    <row r="20" spans="1:8" ht="15" customHeight="1">
      <c r="A20" s="3">
        <v>8</v>
      </c>
      <c r="B20" s="7">
        <f t="shared" si="1"/>
        <v>45032535.707237773</v>
      </c>
      <c r="C20" s="7">
        <f t="shared" si="2"/>
        <v>1531106.2140460843</v>
      </c>
      <c r="D20" s="7">
        <f t="shared" si="3"/>
        <v>1322647.4029125185</v>
      </c>
      <c r="E20" s="7">
        <f t="shared" si="0"/>
        <v>43709888.304325253</v>
      </c>
      <c r="F20" s="69"/>
      <c r="G20" s="20" t="s">
        <v>49</v>
      </c>
      <c r="H20" s="47">
        <v>43000</v>
      </c>
    </row>
    <row r="21" spans="1:8" ht="15" customHeight="1">
      <c r="A21" s="3">
        <v>9</v>
      </c>
      <c r="B21" s="7">
        <f t="shared" si="1"/>
        <v>43709888.304325253</v>
      </c>
      <c r="C21" s="7">
        <f t="shared" si="2"/>
        <v>1486136.2023470588</v>
      </c>
      <c r="D21" s="7">
        <f t="shared" si="3"/>
        <v>1367617.414611544</v>
      </c>
      <c r="E21" s="7">
        <f t="shared" si="0"/>
        <v>42342270.889713712</v>
      </c>
      <c r="F21" s="69"/>
      <c r="G21" s="20"/>
      <c r="H21" s="46">
        <f>SUM(H14:H20)</f>
        <v>3761230</v>
      </c>
    </row>
    <row r="22" spans="1:8" ht="15" customHeight="1">
      <c r="A22" s="3">
        <v>10</v>
      </c>
      <c r="B22" s="7">
        <f t="shared" si="1"/>
        <v>42342270.889713712</v>
      </c>
      <c r="C22" s="7">
        <f t="shared" si="2"/>
        <v>1439637.2102502664</v>
      </c>
      <c r="D22" s="7">
        <f t="shared" si="3"/>
        <v>1414116.4067083364</v>
      </c>
      <c r="E22" s="7">
        <f t="shared" si="0"/>
        <v>40928154.483005375</v>
      </c>
      <c r="F22" s="69"/>
      <c r="G22" s="20"/>
      <c r="H22" s="21"/>
    </row>
    <row r="23" spans="1:8" ht="15" customHeight="1">
      <c r="A23" s="3">
        <v>11</v>
      </c>
      <c r="B23" s="7">
        <f t="shared" si="1"/>
        <v>40928154.483005375</v>
      </c>
      <c r="C23" s="7">
        <f t="shared" si="2"/>
        <v>1391557.2524221828</v>
      </c>
      <c r="D23" s="7">
        <f t="shared" si="3"/>
        <v>1462196.36453642</v>
      </c>
      <c r="E23" s="7">
        <f t="shared" si="0"/>
        <v>39465958.118468955</v>
      </c>
      <c r="F23" s="69"/>
      <c r="G23" s="45" t="s">
        <v>50</v>
      </c>
      <c r="H23" s="21"/>
    </row>
    <row r="24" spans="1:8" ht="15" customHeight="1">
      <c r="A24" s="3">
        <v>12</v>
      </c>
      <c r="B24" s="7">
        <f t="shared" si="1"/>
        <v>39465958.118468955</v>
      </c>
      <c r="C24" s="7">
        <f t="shared" si="2"/>
        <v>1341842.5760279447</v>
      </c>
      <c r="D24" s="7">
        <f t="shared" si="3"/>
        <v>1511911.0409306581</v>
      </c>
      <c r="E24" s="7">
        <f t="shared" si="0"/>
        <v>37954047.077538297</v>
      </c>
      <c r="F24" s="69"/>
      <c r="G24" s="20" t="s">
        <v>51</v>
      </c>
      <c r="H24" s="46">
        <v>240000</v>
      </c>
    </row>
    <row r="25" spans="1:8">
      <c r="A25" s="3">
        <v>13</v>
      </c>
      <c r="B25" s="7">
        <f t="shared" si="1"/>
        <v>37954047.077538297</v>
      </c>
      <c r="C25" s="7">
        <f t="shared" si="2"/>
        <v>1290437.6006363023</v>
      </c>
      <c r="D25" s="7">
        <f t="shared" si="3"/>
        <v>1563316.0163223005</v>
      </c>
      <c r="E25" s="7">
        <f t="shared" si="0"/>
        <v>36390731.061215997</v>
      </c>
      <c r="F25" s="69"/>
      <c r="G25" s="20" t="s">
        <v>52</v>
      </c>
      <c r="H25" s="46">
        <v>200000</v>
      </c>
    </row>
    <row r="26" spans="1:8">
      <c r="A26" s="3">
        <v>14</v>
      </c>
      <c r="B26" s="7">
        <f t="shared" si="1"/>
        <v>36390731.061215997</v>
      </c>
      <c r="C26" s="7">
        <f t="shared" si="2"/>
        <v>1237284.856081344</v>
      </c>
      <c r="D26" s="7">
        <f t="shared" si="3"/>
        <v>1616468.7608772588</v>
      </c>
      <c r="E26" s="7">
        <f t="shared" si="0"/>
        <v>34774262.300338738</v>
      </c>
      <c r="F26" s="69"/>
      <c r="G26" s="20" t="s">
        <v>53</v>
      </c>
      <c r="H26" s="46">
        <v>375000</v>
      </c>
    </row>
    <row r="27" spans="1:8">
      <c r="A27" s="3">
        <v>15</v>
      </c>
      <c r="B27" s="7">
        <f t="shared" si="1"/>
        <v>34774262.300338738</v>
      </c>
      <c r="C27" s="7">
        <f t="shared" si="2"/>
        <v>1182324.9182115172</v>
      </c>
      <c r="D27" s="7">
        <f t="shared" si="3"/>
        <v>1671428.6987470856</v>
      </c>
      <c r="E27" s="7">
        <f t="shared" si="0"/>
        <v>33102833.60159165</v>
      </c>
      <c r="F27" s="69"/>
      <c r="G27" s="20" t="s">
        <v>54</v>
      </c>
      <c r="H27" s="46">
        <v>541000</v>
      </c>
    </row>
    <row r="28" spans="1:8">
      <c r="A28" s="3">
        <v>16</v>
      </c>
      <c r="B28" s="7">
        <f t="shared" si="1"/>
        <v>33102833.60159165</v>
      </c>
      <c r="C28" s="7">
        <f t="shared" si="2"/>
        <v>1125496.3424541161</v>
      </c>
      <c r="D28" s="7">
        <f t="shared" si="3"/>
        <v>1728257.2745044867</v>
      </c>
      <c r="E28" s="7">
        <f t="shared" si="0"/>
        <v>31374576.327087164</v>
      </c>
      <c r="F28" s="69"/>
      <c r="G28" s="20" t="s">
        <v>55</v>
      </c>
      <c r="H28" s="46">
        <v>209000</v>
      </c>
    </row>
    <row r="29" spans="1:8">
      <c r="A29" s="3">
        <v>17</v>
      </c>
      <c r="B29" s="7">
        <f t="shared" si="1"/>
        <v>31374576.327087164</v>
      </c>
      <c r="C29" s="7">
        <f t="shared" si="2"/>
        <v>1066735.5951209636</v>
      </c>
      <c r="D29" s="7">
        <f t="shared" si="3"/>
        <v>1787018.0218376392</v>
      </c>
      <c r="E29" s="7">
        <f t="shared" si="0"/>
        <v>29587558.305249523</v>
      </c>
      <c r="F29" s="21"/>
      <c r="G29" s="56" t="s">
        <v>56</v>
      </c>
      <c r="H29" s="55">
        <v>0</v>
      </c>
    </row>
    <row r="30" spans="1:8">
      <c r="A30" s="3">
        <v>18</v>
      </c>
      <c r="B30" s="7">
        <f t="shared" si="1"/>
        <v>29587558.305249523</v>
      </c>
      <c r="C30" s="7">
        <f t="shared" si="2"/>
        <v>1005976.9823784839</v>
      </c>
      <c r="D30" s="7">
        <f t="shared" si="3"/>
        <v>1847776.634580119</v>
      </c>
      <c r="E30" s="7">
        <f t="shared" si="0"/>
        <v>27739781.670669403</v>
      </c>
      <c r="F30" s="69"/>
      <c r="G30" s="20"/>
      <c r="H30" s="46">
        <f>SUM(H24:H29)</f>
        <v>1565000</v>
      </c>
    </row>
    <row r="31" spans="1:8">
      <c r="A31" s="3">
        <v>19</v>
      </c>
      <c r="B31" s="7">
        <f t="shared" si="1"/>
        <v>27739781.670669403</v>
      </c>
      <c r="C31" s="7">
        <f t="shared" si="2"/>
        <v>943152.57680275978</v>
      </c>
      <c r="D31" s="7">
        <f t="shared" si="3"/>
        <v>1910601.0401558429</v>
      </c>
      <c r="E31" s="7">
        <f t="shared" si="0"/>
        <v>25829180.63051356</v>
      </c>
      <c r="F31" s="69"/>
      <c r="G31" s="20"/>
      <c r="H31" s="21"/>
    </row>
    <row r="32" spans="1:8">
      <c r="A32" s="3">
        <v>20</v>
      </c>
      <c r="B32" s="7">
        <f t="shared" si="1"/>
        <v>25829180.63051356</v>
      </c>
      <c r="C32" s="7">
        <f t="shared" si="2"/>
        <v>878192.14143746113</v>
      </c>
      <c r="D32" s="7">
        <f t="shared" si="3"/>
        <v>1975561.4755211417</v>
      </c>
      <c r="E32" s="7">
        <f t="shared" si="0"/>
        <v>23853619.154992417</v>
      </c>
      <c r="F32" s="69"/>
      <c r="G32" s="12" t="s">
        <v>57</v>
      </c>
      <c r="H32" s="48">
        <f>H21-H30</f>
        <v>2196230</v>
      </c>
    </row>
    <row r="33" spans="1:10">
      <c r="A33" s="3">
        <v>21</v>
      </c>
      <c r="B33" s="7">
        <f t="shared" si="1"/>
        <v>23853619.154992417</v>
      </c>
      <c r="C33" s="7">
        <f t="shared" si="2"/>
        <v>811023.05126974219</v>
      </c>
      <c r="D33" s="7">
        <f t="shared" si="3"/>
        <v>2042730.5656888606</v>
      </c>
      <c r="E33" s="7">
        <f t="shared" si="0"/>
        <v>21810888.589303557</v>
      </c>
      <c r="F33" s="69"/>
      <c r="G33" s="20"/>
      <c r="H33" s="21"/>
      <c r="I33" s="69"/>
      <c r="J33" s="69"/>
    </row>
    <row r="34" spans="1:10">
      <c r="A34" s="3">
        <v>22</v>
      </c>
      <c r="B34" s="7">
        <f t="shared" si="1"/>
        <v>21810888.589303557</v>
      </c>
      <c r="C34" s="7">
        <f t="shared" si="2"/>
        <v>741570.21203632094</v>
      </c>
      <c r="D34" s="7">
        <f t="shared" si="3"/>
        <v>2112183.4049222819</v>
      </c>
      <c r="E34" s="7">
        <f t="shared" si="0"/>
        <v>19698705.184381276</v>
      </c>
      <c r="F34" s="69"/>
      <c r="G34" s="12" t="s">
        <v>58</v>
      </c>
      <c r="H34" s="47">
        <f>B3*B4</f>
        <v>1807106.4260000002</v>
      </c>
      <c r="I34" s="69"/>
      <c r="J34" s="69"/>
    </row>
    <row r="35" spans="1:10">
      <c r="A35" s="3">
        <v>23</v>
      </c>
      <c r="B35" s="7">
        <f t="shared" si="1"/>
        <v>19698705.184381276</v>
      </c>
      <c r="C35" s="7">
        <f t="shared" si="2"/>
        <v>669755.97626896342</v>
      </c>
      <c r="D35" s="7">
        <f t="shared" si="3"/>
        <v>2183997.6406896394</v>
      </c>
      <c r="E35" s="7">
        <f t="shared" si="0"/>
        <v>17514707.543691635</v>
      </c>
      <c r="F35" s="69"/>
      <c r="G35" s="20"/>
      <c r="H35" s="21"/>
      <c r="I35" s="69"/>
      <c r="J35" s="69"/>
    </row>
    <row r="36" spans="1:10">
      <c r="A36" s="3">
        <v>24</v>
      </c>
      <c r="B36" s="7">
        <f t="shared" si="1"/>
        <v>17514707.543691635</v>
      </c>
      <c r="C36" s="7">
        <f t="shared" si="2"/>
        <v>595500.05648551567</v>
      </c>
      <c r="D36" s="7">
        <f t="shared" si="3"/>
        <v>2258253.5604730872</v>
      </c>
      <c r="E36" s="7">
        <f t="shared" si="0"/>
        <v>15256453.983218547</v>
      </c>
      <c r="F36" s="69"/>
      <c r="G36" s="12" t="s">
        <v>59</v>
      </c>
      <c r="H36" s="48">
        <f>H32-H34</f>
        <v>389123.57399999979</v>
      </c>
      <c r="I36" s="69"/>
      <c r="J36" s="69"/>
    </row>
    <row r="37" spans="1:10">
      <c r="A37" s="3">
        <v>25</v>
      </c>
      <c r="B37" s="7">
        <f t="shared" si="1"/>
        <v>15256453.983218547</v>
      </c>
      <c r="C37" s="7">
        <f t="shared" si="2"/>
        <v>518719.43542943062</v>
      </c>
      <c r="D37" s="7">
        <f t="shared" si="3"/>
        <v>2335034.1815291722</v>
      </c>
      <c r="E37" s="7">
        <f t="shared" si="0"/>
        <v>12921419.801689375</v>
      </c>
      <c r="F37" s="69"/>
      <c r="G37" s="12"/>
      <c r="H37" s="21"/>
      <c r="I37" s="69"/>
      <c r="J37" s="69"/>
    </row>
    <row r="38" spans="1:10">
      <c r="A38" s="3">
        <v>26</v>
      </c>
      <c r="B38" s="7">
        <f t="shared" si="1"/>
        <v>12921419.801689375</v>
      </c>
      <c r="C38" s="7">
        <f t="shared" si="2"/>
        <v>439328.27325743879</v>
      </c>
      <c r="D38" s="7">
        <f t="shared" si="3"/>
        <v>2414425.3437011642</v>
      </c>
      <c r="E38" s="7">
        <f t="shared" si="0"/>
        <v>10506994.45798821</v>
      </c>
      <c r="F38" s="69"/>
      <c r="G38" s="12" t="s">
        <v>39</v>
      </c>
      <c r="H38" s="49">
        <f>H36</f>
        <v>389123.57399999979</v>
      </c>
      <c r="I38" s="69"/>
      <c r="J38" s="69"/>
    </row>
    <row r="39" spans="1:10">
      <c r="A39" s="3">
        <v>27</v>
      </c>
      <c r="B39" s="7">
        <f t="shared" si="1"/>
        <v>10506994.45798821</v>
      </c>
      <c r="C39" s="7">
        <f t="shared" si="2"/>
        <v>357237.81157159916</v>
      </c>
      <c r="D39" s="7">
        <f t="shared" si="3"/>
        <v>2496515.8053870038</v>
      </c>
      <c r="E39" s="7">
        <f t="shared" si="0"/>
        <v>8010478.6526012067</v>
      </c>
      <c r="F39" s="69"/>
      <c r="G39" s="12"/>
      <c r="H39" s="21"/>
      <c r="I39" s="69"/>
      <c r="J39" s="69"/>
    </row>
    <row r="40" spans="1:10">
      <c r="A40" s="3">
        <v>28</v>
      </c>
      <c r="B40" s="7">
        <f t="shared" si="1"/>
        <v>8010478.6526012067</v>
      </c>
      <c r="C40" s="7">
        <f t="shared" si="2"/>
        <v>272356.27418844105</v>
      </c>
      <c r="D40" s="7">
        <f t="shared" si="3"/>
        <v>2581397.3427701616</v>
      </c>
      <c r="E40" s="7">
        <f t="shared" si="0"/>
        <v>5429081.3098310456</v>
      </c>
      <c r="F40" s="69"/>
      <c r="G40" s="13" t="s">
        <v>60</v>
      </c>
      <c r="H40" s="50">
        <f>H36-H38</f>
        <v>0</v>
      </c>
      <c r="I40" s="69"/>
      <c r="J40" s="69"/>
    </row>
    <row r="41" spans="1:10">
      <c r="A41" s="3">
        <v>29</v>
      </c>
      <c r="B41" s="7">
        <f t="shared" si="1"/>
        <v>5429081.3098310456</v>
      </c>
      <c r="C41" s="7">
        <f t="shared" si="2"/>
        <v>184588.76453425558</v>
      </c>
      <c r="D41" s="7">
        <f t="shared" si="3"/>
        <v>2669164.8524243473</v>
      </c>
      <c r="E41" s="7">
        <f t="shared" si="0"/>
        <v>2759916.4574066983</v>
      </c>
      <c r="F41" s="69"/>
      <c r="G41" s="69"/>
      <c r="H41" s="69"/>
      <c r="I41" s="69"/>
      <c r="J41" s="69"/>
    </row>
    <row r="42" spans="1:10">
      <c r="A42" s="3">
        <v>30</v>
      </c>
      <c r="B42" s="7">
        <f t="shared" si="1"/>
        <v>2759916.4574066983</v>
      </c>
      <c r="C42" s="7">
        <f t="shared" si="2"/>
        <v>93837.159551827746</v>
      </c>
      <c r="D42" s="7">
        <f t="shared" si="3"/>
        <v>2759916.4574067751</v>
      </c>
      <c r="E42" s="7">
        <f t="shared" si="0"/>
        <v>-7.6834112405776978E-8</v>
      </c>
      <c r="F42" s="69"/>
      <c r="G42" s="69"/>
      <c r="H42" s="69"/>
      <c r="I42" s="69"/>
      <c r="J42" s="69"/>
    </row>
    <row r="43" spans="1:10" ht="15.75">
      <c r="A43" s="69"/>
      <c r="B43" s="69"/>
      <c r="C43" s="69"/>
      <c r="D43" s="69"/>
      <c r="E43" s="69"/>
      <c r="F43" s="69"/>
      <c r="G43" s="91" t="s">
        <v>61</v>
      </c>
      <c r="H43" s="92"/>
      <c r="I43" s="93" t="s">
        <v>62</v>
      </c>
      <c r="J43" s="94"/>
    </row>
    <row r="44" spans="1:10">
      <c r="A44" s="69"/>
      <c r="B44" s="69"/>
      <c r="C44" s="69"/>
      <c r="D44" s="69"/>
      <c r="E44" s="69"/>
      <c r="F44" s="69"/>
      <c r="G44" s="99" t="s">
        <v>70</v>
      </c>
      <c r="H44" s="100"/>
      <c r="I44" s="99" t="s">
        <v>71</v>
      </c>
      <c r="J44" s="100"/>
    </row>
    <row r="45" spans="1:10">
      <c r="A45" s="69"/>
      <c r="B45" s="69"/>
      <c r="C45" s="69"/>
      <c r="D45" s="69"/>
      <c r="E45" s="69"/>
      <c r="F45" s="69"/>
      <c r="G45" s="95" t="s">
        <v>72</v>
      </c>
      <c r="H45" s="96"/>
      <c r="I45" s="95" t="s">
        <v>73</v>
      </c>
      <c r="J45" s="96"/>
    </row>
    <row r="46" spans="1:10">
      <c r="A46" s="69"/>
      <c r="B46" s="69"/>
      <c r="C46" s="69"/>
      <c r="D46" s="69"/>
      <c r="E46" s="69"/>
      <c r="F46" s="69"/>
      <c r="G46" s="95" t="s">
        <v>65</v>
      </c>
      <c r="H46" s="96"/>
      <c r="I46" s="95" t="s">
        <v>74</v>
      </c>
      <c r="J46" s="96"/>
    </row>
    <row r="47" spans="1:10">
      <c r="A47" s="69"/>
      <c r="B47" s="69"/>
      <c r="C47" s="69"/>
      <c r="D47" s="69"/>
      <c r="E47" s="69"/>
      <c r="F47" s="69"/>
      <c r="G47" s="97"/>
      <c r="H47" s="98"/>
      <c r="I47" s="97" t="s">
        <v>75</v>
      </c>
      <c r="J47" s="98"/>
    </row>
    <row r="48" spans="1:10" ht="1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</row>
  </sheetData>
  <mergeCells count="12">
    <mergeCell ref="G12:H12"/>
    <mergeCell ref="G43:H43"/>
    <mergeCell ref="I43:J43"/>
    <mergeCell ref="A1:J2"/>
    <mergeCell ref="G44:H44"/>
    <mergeCell ref="G45:H45"/>
    <mergeCell ref="G46:H46"/>
    <mergeCell ref="G47:H47"/>
    <mergeCell ref="I44:J44"/>
    <mergeCell ref="I45:J45"/>
    <mergeCell ref="I46:J46"/>
    <mergeCell ref="I47:J4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activeCell="I49" sqref="I49:J49"/>
    </sheetView>
  </sheetViews>
  <sheetFormatPr defaultRowHeight="15"/>
  <cols>
    <col min="1" max="1" width="18.28515625" customWidth="1"/>
    <col min="2" max="2" width="14.42578125" customWidth="1"/>
    <col min="3" max="3" width="10.85546875" bestFit="1" customWidth="1"/>
    <col min="4" max="4" width="10.140625" bestFit="1" customWidth="1"/>
    <col min="5" max="5" width="13.5703125" bestFit="1" customWidth="1"/>
    <col min="7" max="7" width="35.42578125" bestFit="1" customWidth="1"/>
    <col min="8" max="8" width="18" customWidth="1"/>
    <col min="9" max="9" width="29.140625" customWidth="1"/>
    <col min="10" max="10" width="26.28515625" customWidth="1"/>
  </cols>
  <sheetData>
    <row r="1" spans="1:10" s="69" customFormat="1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69" customForma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>
      <c r="A3" s="11" t="s">
        <v>25</v>
      </c>
      <c r="B3" s="25">
        <f>Finansieringsbehov!F18</f>
        <v>42650189</v>
      </c>
      <c r="C3" s="69"/>
      <c r="D3" s="69"/>
      <c r="E3" s="69"/>
      <c r="F3" s="69"/>
      <c r="G3" s="69"/>
      <c r="H3" s="69"/>
      <c r="I3" s="69"/>
      <c r="J3" s="69"/>
    </row>
    <row r="4" spans="1:10">
      <c r="A4" s="12" t="s">
        <v>26</v>
      </c>
      <c r="B4" s="26">
        <v>3.4000000000000002E-2</v>
      </c>
      <c r="C4" s="69"/>
      <c r="D4" s="69"/>
      <c r="E4" s="69"/>
      <c r="F4" s="69"/>
      <c r="G4" s="69"/>
      <c r="H4" s="69"/>
      <c r="I4" s="69"/>
      <c r="J4" s="69"/>
    </row>
    <row r="5" spans="1:10">
      <c r="A5" s="12" t="s">
        <v>27</v>
      </c>
      <c r="B5" s="44">
        <v>30</v>
      </c>
      <c r="C5" s="69"/>
      <c r="D5" s="69"/>
      <c r="E5" s="69"/>
      <c r="F5" s="69"/>
      <c r="G5" s="69"/>
      <c r="H5" s="69"/>
      <c r="I5" s="69"/>
      <c r="J5" s="69"/>
    </row>
    <row r="6" spans="1:10">
      <c r="A6" s="13" t="s">
        <v>28</v>
      </c>
      <c r="B6" s="27">
        <v>14000</v>
      </c>
      <c r="C6" s="69"/>
      <c r="D6" s="69"/>
      <c r="E6" s="69"/>
      <c r="F6" s="69"/>
      <c r="G6" s="69"/>
      <c r="H6" s="69"/>
      <c r="I6" s="69"/>
      <c r="J6" s="69"/>
    </row>
    <row r="7" spans="1:10">
      <c r="A7" s="69"/>
      <c r="B7" s="69"/>
      <c r="C7" s="69"/>
      <c r="D7" s="69"/>
      <c r="E7" s="69"/>
      <c r="F7" s="69"/>
      <c r="G7" s="34" t="s">
        <v>29</v>
      </c>
      <c r="H7" s="35" t="s">
        <v>30</v>
      </c>
      <c r="I7" s="36" t="s">
        <v>31</v>
      </c>
      <c r="J7" s="35" t="s">
        <v>32</v>
      </c>
    </row>
    <row r="8" spans="1:10">
      <c r="A8" s="69" t="s">
        <v>33</v>
      </c>
      <c r="B8" s="69"/>
      <c r="C8" s="69"/>
      <c r="D8" s="69"/>
      <c r="E8" s="4">
        <f>B3*(B4/(1-(1+B4)^-B5))</f>
        <v>2289984.9165676162</v>
      </c>
      <c r="F8" s="69"/>
      <c r="G8" s="30">
        <f>H32</f>
        <v>1994400</v>
      </c>
      <c r="H8" s="32">
        <f>E8-G8</f>
        <v>295584.91656761616</v>
      </c>
      <c r="I8" s="31">
        <f>H8/6236</f>
        <v>47.399762117962823</v>
      </c>
      <c r="J8" s="33">
        <f>I8/12</f>
        <v>3.949980176496902</v>
      </c>
    </row>
    <row r="9" spans="1:10">
      <c r="A9" s="69" t="s">
        <v>34</v>
      </c>
      <c r="B9" s="69"/>
      <c r="C9" s="69"/>
      <c r="D9" s="69"/>
      <c r="E9" s="4">
        <f>E8/12</f>
        <v>190832.07638063468</v>
      </c>
      <c r="F9" s="69"/>
      <c r="G9" s="69"/>
      <c r="H9" s="69"/>
      <c r="I9" s="69"/>
      <c r="J9" s="69"/>
    </row>
    <row r="10" spans="1:10">
      <c r="A10" s="69" t="s">
        <v>35</v>
      </c>
      <c r="B10" s="69"/>
      <c r="C10" s="69"/>
      <c r="D10" s="69"/>
      <c r="E10" s="4">
        <f>SUM(C13:C42)</f>
        <v>26049358.497028418</v>
      </c>
      <c r="F10" s="69"/>
      <c r="G10" s="69"/>
      <c r="H10" s="69"/>
      <c r="I10" s="69"/>
      <c r="J10" s="69"/>
    </row>
    <row r="11" spans="1:10">
      <c r="A11" s="69"/>
      <c r="B11" s="69"/>
      <c r="C11" s="69"/>
      <c r="D11" s="69"/>
      <c r="E11" s="4"/>
      <c r="F11" s="69"/>
      <c r="G11" s="69"/>
      <c r="H11" s="69"/>
      <c r="I11" s="69"/>
      <c r="J11" s="69"/>
    </row>
    <row r="12" spans="1:10" ht="15.75">
      <c r="A12" s="6" t="s">
        <v>36</v>
      </c>
      <c r="B12" s="6" t="s">
        <v>37</v>
      </c>
      <c r="C12" s="6" t="s">
        <v>38</v>
      </c>
      <c r="D12" s="6" t="s">
        <v>39</v>
      </c>
      <c r="E12" s="6" t="s">
        <v>40</v>
      </c>
      <c r="F12" s="69"/>
      <c r="G12" s="91" t="s">
        <v>41</v>
      </c>
      <c r="H12" s="92"/>
      <c r="I12" s="69"/>
      <c r="J12" s="69"/>
    </row>
    <row r="13" spans="1:10" ht="15.75">
      <c r="A13" s="3">
        <v>1</v>
      </c>
      <c r="B13" s="7">
        <f>B3</f>
        <v>42650189</v>
      </c>
      <c r="C13" s="7">
        <f>B13*$B$4</f>
        <v>1450106.4260000002</v>
      </c>
      <c r="D13" s="7">
        <f>$E$8-C13</f>
        <v>839878.49056761595</v>
      </c>
      <c r="E13" s="7">
        <f>B13-D13</f>
        <v>41810310.509432383</v>
      </c>
      <c r="F13" s="69"/>
      <c r="G13" s="45" t="s">
        <v>42</v>
      </c>
      <c r="H13" s="21"/>
      <c r="I13" s="69"/>
      <c r="J13" s="69"/>
    </row>
    <row r="14" spans="1:10">
      <c r="A14" s="3">
        <v>2</v>
      </c>
      <c r="B14" s="7">
        <f>E13</f>
        <v>41810310.509432383</v>
      </c>
      <c r="C14" s="7">
        <f>B14*$B$4</f>
        <v>1421550.5573207012</v>
      </c>
      <c r="D14" s="7">
        <f>$E$8-C14</f>
        <v>868434.35924691497</v>
      </c>
      <c r="E14" s="7">
        <f t="shared" ref="E14:E42" si="0">B14-D14</f>
        <v>40941876.150185466</v>
      </c>
      <c r="F14" s="69"/>
      <c r="G14" s="20" t="s">
        <v>43</v>
      </c>
      <c r="H14" s="46">
        <v>2104000</v>
      </c>
      <c r="I14" s="69"/>
      <c r="J14" s="69"/>
    </row>
    <row r="15" spans="1:10">
      <c r="A15" s="3">
        <v>3</v>
      </c>
      <c r="B15" s="7">
        <f t="shared" ref="B15:B42" si="1">E14</f>
        <v>40941876.150185466</v>
      </c>
      <c r="C15" s="7">
        <f t="shared" ref="C15:C42" si="2">B15*$B$4</f>
        <v>1392023.7891063059</v>
      </c>
      <c r="D15" s="7">
        <f t="shared" ref="D15:D42" si="3">$E$8-C15</f>
        <v>897961.12746131024</v>
      </c>
      <c r="E15" s="7">
        <f t="shared" si="0"/>
        <v>40043915.022724159</v>
      </c>
      <c r="F15" s="69"/>
      <c r="G15" s="20" t="s">
        <v>44</v>
      </c>
      <c r="H15" s="46">
        <v>300000</v>
      </c>
      <c r="I15" s="69"/>
      <c r="J15" s="69"/>
    </row>
    <row r="16" spans="1:10">
      <c r="A16" s="3">
        <v>4</v>
      </c>
      <c r="B16" s="7">
        <f t="shared" si="1"/>
        <v>40043915.022724159</v>
      </c>
      <c r="C16" s="7">
        <f t="shared" si="2"/>
        <v>1361493.1107726216</v>
      </c>
      <c r="D16" s="7">
        <f t="shared" si="3"/>
        <v>928491.80579499458</v>
      </c>
      <c r="E16" s="7">
        <f t="shared" si="0"/>
        <v>39115423.216929168</v>
      </c>
      <c r="F16" s="69"/>
      <c r="G16" s="20" t="s">
        <v>45</v>
      </c>
      <c r="H16" s="46">
        <f>77*500*12</f>
        <v>462000</v>
      </c>
      <c r="I16" s="69"/>
      <c r="J16" s="69"/>
    </row>
    <row r="17" spans="1:8">
      <c r="A17" s="3">
        <v>5</v>
      </c>
      <c r="B17" s="7">
        <f t="shared" si="1"/>
        <v>39115423.216929168</v>
      </c>
      <c r="C17" s="7">
        <f t="shared" si="2"/>
        <v>1329924.3893755919</v>
      </c>
      <c r="D17" s="7">
        <f t="shared" si="3"/>
        <v>960060.52719202428</v>
      </c>
      <c r="E17" s="7">
        <f t="shared" si="0"/>
        <v>38155362.689737141</v>
      </c>
      <c r="F17" s="69"/>
      <c r="G17" s="20" t="s">
        <v>46</v>
      </c>
      <c r="H17" s="46">
        <f>33*650*12</f>
        <v>257400</v>
      </c>
    </row>
    <row r="18" spans="1:8">
      <c r="A18" s="3">
        <v>6</v>
      </c>
      <c r="B18" s="7">
        <f t="shared" si="1"/>
        <v>38155362.689737141</v>
      </c>
      <c r="C18" s="7">
        <f t="shared" si="2"/>
        <v>1297282.3314510628</v>
      </c>
      <c r="D18" s="7">
        <f t="shared" si="3"/>
        <v>992702.58511655335</v>
      </c>
      <c r="E18" s="7">
        <f t="shared" si="0"/>
        <v>37162660.104620591</v>
      </c>
      <c r="F18" s="69"/>
      <c r="G18" s="20" t="s">
        <v>76</v>
      </c>
      <c r="H18" s="46">
        <f>1000*200</f>
        <v>200000</v>
      </c>
    </row>
    <row r="19" spans="1:8" ht="15" customHeight="1">
      <c r="A19" s="3">
        <v>7</v>
      </c>
      <c r="B19" s="7">
        <f t="shared" si="1"/>
        <v>37162660.104620591</v>
      </c>
      <c r="C19" s="7">
        <f t="shared" si="2"/>
        <v>1263530.4435571001</v>
      </c>
      <c r="D19" s="7">
        <f t="shared" si="3"/>
        <v>1026454.473010516</v>
      </c>
      <c r="E19" s="7">
        <f t="shared" si="0"/>
        <v>36136205.631610073</v>
      </c>
      <c r="F19" s="69"/>
      <c r="G19" s="20" t="s">
        <v>48</v>
      </c>
      <c r="H19" s="46">
        <v>193000</v>
      </c>
    </row>
    <row r="20" spans="1:8" ht="15" customHeight="1">
      <c r="A20" s="3">
        <v>8</v>
      </c>
      <c r="B20" s="7">
        <f t="shared" si="1"/>
        <v>36136205.631610073</v>
      </c>
      <c r="C20" s="7">
        <f t="shared" si="2"/>
        <v>1228630.9914747425</v>
      </c>
      <c r="D20" s="7">
        <f t="shared" si="3"/>
        <v>1061353.9250928736</v>
      </c>
      <c r="E20" s="7">
        <f t="shared" si="0"/>
        <v>35074851.706517197</v>
      </c>
      <c r="F20" s="69"/>
      <c r="G20" s="20" t="s">
        <v>49</v>
      </c>
      <c r="H20" s="47">
        <v>43000</v>
      </c>
    </row>
    <row r="21" spans="1:8" ht="15" customHeight="1">
      <c r="A21" s="3">
        <v>9</v>
      </c>
      <c r="B21" s="7">
        <f t="shared" si="1"/>
        <v>35074851.706517197</v>
      </c>
      <c r="C21" s="7">
        <f t="shared" si="2"/>
        <v>1192544.9580215849</v>
      </c>
      <c r="D21" s="7">
        <f t="shared" si="3"/>
        <v>1097439.9585460313</v>
      </c>
      <c r="E21" s="7">
        <f t="shared" si="0"/>
        <v>33977411.747971162</v>
      </c>
      <c r="F21" s="69"/>
      <c r="G21" s="20"/>
      <c r="H21" s="46">
        <f>SUM(H14:H20)</f>
        <v>3559400</v>
      </c>
    </row>
    <row r="22" spans="1:8" ht="15" customHeight="1">
      <c r="A22" s="3">
        <v>10</v>
      </c>
      <c r="B22" s="7">
        <f t="shared" si="1"/>
        <v>33977411.747971162</v>
      </c>
      <c r="C22" s="7">
        <f t="shared" si="2"/>
        <v>1155231.9994310196</v>
      </c>
      <c r="D22" s="7">
        <f t="shared" si="3"/>
        <v>1134752.9171365965</v>
      </c>
      <c r="E22" s="7">
        <f t="shared" si="0"/>
        <v>32842658.830834568</v>
      </c>
      <c r="F22" s="69"/>
      <c r="G22" s="20"/>
      <c r="H22" s="21"/>
    </row>
    <row r="23" spans="1:8" ht="15" customHeight="1">
      <c r="A23" s="3">
        <v>11</v>
      </c>
      <c r="B23" s="7">
        <f t="shared" si="1"/>
        <v>32842658.830834568</v>
      </c>
      <c r="C23" s="7">
        <f t="shared" si="2"/>
        <v>1116650.4002483755</v>
      </c>
      <c r="D23" s="7">
        <f t="shared" si="3"/>
        <v>1173334.5163192407</v>
      </c>
      <c r="E23" s="7">
        <f t="shared" si="0"/>
        <v>31669324.314515326</v>
      </c>
      <c r="F23" s="69"/>
      <c r="G23" s="45" t="s">
        <v>50</v>
      </c>
      <c r="H23" s="21"/>
    </row>
    <row r="24" spans="1:8" ht="15" customHeight="1">
      <c r="A24" s="3">
        <v>12</v>
      </c>
      <c r="B24" s="7">
        <f t="shared" si="1"/>
        <v>31669324.314515326</v>
      </c>
      <c r="C24" s="7">
        <f t="shared" si="2"/>
        <v>1076757.0266935211</v>
      </c>
      <c r="D24" s="7">
        <f t="shared" si="3"/>
        <v>1213227.8898740951</v>
      </c>
      <c r="E24" s="7">
        <f t="shared" si="0"/>
        <v>30456096.424641229</v>
      </c>
      <c r="F24" s="69"/>
      <c r="G24" s="20" t="s">
        <v>51</v>
      </c>
      <c r="H24" s="46">
        <v>240000</v>
      </c>
    </row>
    <row r="25" spans="1:8">
      <c r="A25" s="3">
        <v>13</v>
      </c>
      <c r="B25" s="7">
        <f t="shared" si="1"/>
        <v>30456096.424641229</v>
      </c>
      <c r="C25" s="7">
        <f t="shared" si="2"/>
        <v>1035507.2784378019</v>
      </c>
      <c r="D25" s="7">
        <f t="shared" si="3"/>
        <v>1254477.6381298143</v>
      </c>
      <c r="E25" s="7">
        <f t="shared" si="0"/>
        <v>29201618.786511414</v>
      </c>
      <c r="F25" s="69"/>
      <c r="G25" s="20" t="s">
        <v>52</v>
      </c>
      <c r="H25" s="46">
        <v>200000</v>
      </c>
    </row>
    <row r="26" spans="1:8">
      <c r="A26" s="3">
        <v>14</v>
      </c>
      <c r="B26" s="7">
        <f t="shared" si="1"/>
        <v>29201618.786511414</v>
      </c>
      <c r="C26" s="7">
        <f t="shared" si="2"/>
        <v>992855.03874138813</v>
      </c>
      <c r="D26" s="7">
        <f t="shared" si="3"/>
        <v>1297129.877826228</v>
      </c>
      <c r="E26" s="7">
        <f t="shared" si="0"/>
        <v>27904488.908685185</v>
      </c>
      <c r="F26" s="69"/>
      <c r="G26" s="20" t="s">
        <v>53</v>
      </c>
      <c r="H26" s="46">
        <v>375000</v>
      </c>
    </row>
    <row r="27" spans="1:8">
      <c r="A27" s="3">
        <v>15</v>
      </c>
      <c r="B27" s="7">
        <f t="shared" si="1"/>
        <v>27904488.908685185</v>
      </c>
      <c r="C27" s="7">
        <f t="shared" si="2"/>
        <v>948752.62289529631</v>
      </c>
      <c r="D27" s="7">
        <f t="shared" si="3"/>
        <v>1341232.29367232</v>
      </c>
      <c r="E27" s="7">
        <f t="shared" si="0"/>
        <v>26563256.615012866</v>
      </c>
      <c r="F27" s="69"/>
      <c r="G27" s="20" t="s">
        <v>54</v>
      </c>
      <c r="H27" s="46">
        <v>541000</v>
      </c>
    </row>
    <row r="28" spans="1:8">
      <c r="A28" s="3">
        <v>16</v>
      </c>
      <c r="B28" s="7">
        <f t="shared" si="1"/>
        <v>26563256.615012866</v>
      </c>
      <c r="C28" s="7">
        <f t="shared" si="2"/>
        <v>903150.72491043748</v>
      </c>
      <c r="D28" s="7">
        <f t="shared" si="3"/>
        <v>1386834.1916571786</v>
      </c>
      <c r="E28" s="7">
        <f t="shared" si="0"/>
        <v>25176422.423355687</v>
      </c>
      <c r="F28" s="69"/>
      <c r="G28" s="20" t="s">
        <v>55</v>
      </c>
      <c r="H28" s="46">
        <v>209000</v>
      </c>
    </row>
    <row r="29" spans="1:8">
      <c r="A29" s="3">
        <v>17</v>
      </c>
      <c r="B29" s="7">
        <f t="shared" si="1"/>
        <v>25176422.423355687</v>
      </c>
      <c r="C29" s="7">
        <f t="shared" si="2"/>
        <v>855998.36239409342</v>
      </c>
      <c r="D29" s="7">
        <f t="shared" si="3"/>
        <v>1433986.5541735226</v>
      </c>
      <c r="E29" s="7">
        <f t="shared" si="0"/>
        <v>23742435.869182166</v>
      </c>
      <c r="F29" s="69"/>
      <c r="G29" s="20" t="s">
        <v>56</v>
      </c>
      <c r="H29" s="55">
        <v>0</v>
      </c>
    </row>
    <row r="30" spans="1:8">
      <c r="A30" s="3">
        <v>18</v>
      </c>
      <c r="B30" s="7">
        <f t="shared" si="1"/>
        <v>23742435.869182166</v>
      </c>
      <c r="C30" s="7">
        <f t="shared" si="2"/>
        <v>807242.81955219375</v>
      </c>
      <c r="D30" s="7">
        <f t="shared" si="3"/>
        <v>1482742.0970154223</v>
      </c>
      <c r="E30" s="7">
        <f t="shared" si="0"/>
        <v>22259693.772166744</v>
      </c>
      <c r="F30" s="69"/>
      <c r="G30" s="20"/>
      <c r="H30" s="46">
        <f>SUM(H24:H29)</f>
        <v>1565000</v>
      </c>
    </row>
    <row r="31" spans="1:8">
      <c r="A31" s="3">
        <v>19</v>
      </c>
      <c r="B31" s="7">
        <f t="shared" si="1"/>
        <v>22259693.772166744</v>
      </c>
      <c r="C31" s="7">
        <f t="shared" si="2"/>
        <v>756829.58825366932</v>
      </c>
      <c r="D31" s="7">
        <f t="shared" si="3"/>
        <v>1533155.3283139467</v>
      </c>
      <c r="E31" s="7">
        <f t="shared" si="0"/>
        <v>20726538.443852797</v>
      </c>
      <c r="F31" s="69"/>
      <c r="G31" s="20"/>
      <c r="H31" s="21"/>
    </row>
    <row r="32" spans="1:8">
      <c r="A32" s="3">
        <v>20</v>
      </c>
      <c r="B32" s="7">
        <f t="shared" si="1"/>
        <v>20726538.443852797</v>
      </c>
      <c r="C32" s="7">
        <f t="shared" si="2"/>
        <v>704702.30709099513</v>
      </c>
      <c r="D32" s="7">
        <f t="shared" si="3"/>
        <v>1585282.609476621</v>
      </c>
      <c r="E32" s="7">
        <f t="shared" si="0"/>
        <v>19141255.834376175</v>
      </c>
      <c r="F32" s="69"/>
      <c r="G32" s="12" t="s">
        <v>57</v>
      </c>
      <c r="H32" s="48">
        <f>H21-H30</f>
        <v>1994400</v>
      </c>
    </row>
    <row r="33" spans="1:10">
      <c r="A33" s="3">
        <v>21</v>
      </c>
      <c r="B33" s="7">
        <f t="shared" si="1"/>
        <v>19141255.834376175</v>
      </c>
      <c r="C33" s="7">
        <f t="shared" si="2"/>
        <v>650802.69836878998</v>
      </c>
      <c r="D33" s="7">
        <f t="shared" si="3"/>
        <v>1639182.2181988261</v>
      </c>
      <c r="E33" s="7">
        <f t="shared" si="0"/>
        <v>17502073.61617735</v>
      </c>
      <c r="F33" s="69"/>
      <c r="G33" s="20"/>
      <c r="H33" s="21"/>
      <c r="I33" s="69"/>
      <c r="J33" s="69"/>
    </row>
    <row r="34" spans="1:10">
      <c r="A34" s="3">
        <v>22</v>
      </c>
      <c r="B34" s="7">
        <f t="shared" si="1"/>
        <v>17502073.61617735</v>
      </c>
      <c r="C34" s="7">
        <f t="shared" si="2"/>
        <v>595070.50295002991</v>
      </c>
      <c r="D34" s="7">
        <f t="shared" si="3"/>
        <v>1694914.4136175863</v>
      </c>
      <c r="E34" s="7">
        <f t="shared" si="0"/>
        <v>15807159.202559764</v>
      </c>
      <c r="F34" s="69"/>
      <c r="G34" s="12" t="s">
        <v>58</v>
      </c>
      <c r="H34" s="47">
        <f>B3*B4</f>
        <v>1450106.4260000002</v>
      </c>
      <c r="I34" s="69"/>
      <c r="J34" s="69"/>
    </row>
    <row r="35" spans="1:10">
      <c r="A35" s="3">
        <v>23</v>
      </c>
      <c r="B35" s="7">
        <f t="shared" si="1"/>
        <v>15807159.202559764</v>
      </c>
      <c r="C35" s="7">
        <f t="shared" si="2"/>
        <v>537443.41288703203</v>
      </c>
      <c r="D35" s="7">
        <f t="shared" si="3"/>
        <v>1752541.503680584</v>
      </c>
      <c r="E35" s="7">
        <f t="shared" si="0"/>
        <v>14054617.698879179</v>
      </c>
      <c r="F35" s="69"/>
      <c r="G35" s="20"/>
      <c r="H35" s="21"/>
      <c r="I35" s="69"/>
      <c r="J35" s="69"/>
    </row>
    <row r="36" spans="1:10">
      <c r="A36" s="3">
        <v>24</v>
      </c>
      <c r="B36" s="7">
        <f t="shared" si="1"/>
        <v>14054617.698879179</v>
      </c>
      <c r="C36" s="7">
        <f t="shared" si="2"/>
        <v>477857.00176189211</v>
      </c>
      <c r="D36" s="7">
        <f t="shared" si="3"/>
        <v>1812127.9148057241</v>
      </c>
      <c r="E36" s="7">
        <f t="shared" si="0"/>
        <v>12242489.784073455</v>
      </c>
      <c r="F36" s="69"/>
      <c r="G36" s="12" t="s">
        <v>59</v>
      </c>
      <c r="H36" s="48">
        <f>H32-H34</f>
        <v>544293.57399999979</v>
      </c>
      <c r="I36" s="69"/>
      <c r="J36" s="69"/>
    </row>
    <row r="37" spans="1:10">
      <c r="A37" s="3">
        <v>25</v>
      </c>
      <c r="B37" s="7">
        <f t="shared" si="1"/>
        <v>12242489.784073455</v>
      </c>
      <c r="C37" s="7">
        <f t="shared" si="2"/>
        <v>416244.65265849751</v>
      </c>
      <c r="D37" s="7">
        <f t="shared" si="3"/>
        <v>1873740.2639091187</v>
      </c>
      <c r="E37" s="7">
        <f t="shared" si="0"/>
        <v>10368749.520164337</v>
      </c>
      <c r="F37" s="69"/>
      <c r="G37" s="12"/>
      <c r="H37" s="21"/>
      <c r="I37" s="69"/>
      <c r="J37" s="69"/>
    </row>
    <row r="38" spans="1:10">
      <c r="A38" s="3">
        <v>26</v>
      </c>
      <c r="B38" s="7">
        <f t="shared" si="1"/>
        <v>10368749.520164337</v>
      </c>
      <c r="C38" s="7">
        <f t="shared" si="2"/>
        <v>352537.48368558747</v>
      </c>
      <c r="D38" s="7">
        <f t="shared" si="3"/>
        <v>1937447.4328820286</v>
      </c>
      <c r="E38" s="7">
        <f t="shared" si="0"/>
        <v>8431302.0872823074</v>
      </c>
      <c r="F38" s="69"/>
      <c r="G38" s="12" t="s">
        <v>39</v>
      </c>
      <c r="H38" s="49">
        <f>H36</f>
        <v>544293.57399999979</v>
      </c>
      <c r="I38" s="69"/>
      <c r="J38" s="69"/>
    </row>
    <row r="39" spans="1:10">
      <c r="A39" s="3">
        <v>27</v>
      </c>
      <c r="B39" s="7">
        <f t="shared" si="1"/>
        <v>8431302.0872823074</v>
      </c>
      <c r="C39" s="7">
        <f t="shared" si="2"/>
        <v>286664.27096759848</v>
      </c>
      <c r="D39" s="7">
        <f t="shared" si="3"/>
        <v>2003320.6456000176</v>
      </c>
      <c r="E39" s="7">
        <f t="shared" si="0"/>
        <v>6427981.4416822903</v>
      </c>
      <c r="F39" s="69"/>
      <c r="G39" s="12"/>
      <c r="H39" s="21"/>
      <c r="I39" s="69"/>
      <c r="J39" s="69"/>
    </row>
    <row r="40" spans="1:10">
      <c r="A40" s="3">
        <v>28</v>
      </c>
      <c r="B40" s="7">
        <f t="shared" si="1"/>
        <v>6427981.4416822903</v>
      </c>
      <c r="C40" s="7">
        <f t="shared" si="2"/>
        <v>218551.3690171979</v>
      </c>
      <c r="D40" s="7">
        <f t="shared" si="3"/>
        <v>2071433.5475504182</v>
      </c>
      <c r="E40" s="7">
        <f t="shared" si="0"/>
        <v>4356547.8941318719</v>
      </c>
      <c r="F40" s="69"/>
      <c r="G40" s="13" t="s">
        <v>60</v>
      </c>
      <c r="H40" s="50">
        <f>H36-H38</f>
        <v>0</v>
      </c>
      <c r="I40" s="69"/>
      <c r="J40" s="69"/>
    </row>
    <row r="41" spans="1:10">
      <c r="A41" s="3">
        <v>29</v>
      </c>
      <c r="B41" s="7">
        <f t="shared" si="1"/>
        <v>4356547.8941318719</v>
      </c>
      <c r="C41" s="7">
        <f t="shared" si="2"/>
        <v>148122.62840048366</v>
      </c>
      <c r="D41" s="7">
        <f t="shared" si="3"/>
        <v>2141862.2881671325</v>
      </c>
      <c r="E41" s="7">
        <f t="shared" si="0"/>
        <v>2214685.6059647393</v>
      </c>
      <c r="F41" s="69"/>
      <c r="G41" s="69"/>
      <c r="H41" s="69"/>
      <c r="I41" s="69"/>
      <c r="J41" s="69"/>
    </row>
    <row r="42" spans="1:10">
      <c r="A42" s="3">
        <v>30</v>
      </c>
      <c r="B42" s="7">
        <f t="shared" si="1"/>
        <v>2214685.6059647393</v>
      </c>
      <c r="C42" s="7">
        <f t="shared" si="2"/>
        <v>75299.310602801139</v>
      </c>
      <c r="D42" s="7">
        <f t="shared" si="3"/>
        <v>2214685.6059648152</v>
      </c>
      <c r="E42" s="7">
        <f t="shared" si="0"/>
        <v>-7.5902789831161499E-8</v>
      </c>
      <c r="F42" s="69"/>
      <c r="G42" s="69"/>
      <c r="H42" s="69"/>
      <c r="I42" s="69"/>
      <c r="J42" s="69"/>
    </row>
    <row r="43" spans="1:10" ht="15.75">
      <c r="A43" s="69"/>
      <c r="B43" s="69"/>
      <c r="C43" s="69"/>
      <c r="D43" s="69"/>
      <c r="E43" s="69"/>
      <c r="F43" s="69"/>
      <c r="G43" s="108" t="s">
        <v>61</v>
      </c>
      <c r="H43" s="109"/>
      <c r="I43" s="108" t="s">
        <v>62</v>
      </c>
      <c r="J43" s="109"/>
    </row>
    <row r="44" spans="1:10">
      <c r="A44" s="69"/>
      <c r="B44" s="69"/>
      <c r="C44" s="69"/>
      <c r="D44" s="69"/>
      <c r="E44" s="69"/>
      <c r="F44" s="69"/>
      <c r="G44" s="110" t="s">
        <v>70</v>
      </c>
      <c r="H44" s="105"/>
      <c r="I44" s="104" t="s">
        <v>92</v>
      </c>
      <c r="J44" s="105"/>
    </row>
    <row r="45" spans="1:10" ht="15" customHeight="1">
      <c r="A45" s="69"/>
      <c r="B45" s="69"/>
      <c r="C45" s="69"/>
      <c r="D45" s="69"/>
      <c r="E45" s="69"/>
      <c r="F45" s="69"/>
      <c r="G45" s="102" t="s">
        <v>72</v>
      </c>
      <c r="H45" s="103"/>
      <c r="I45" s="106" t="s">
        <v>93</v>
      </c>
      <c r="J45" s="103"/>
    </row>
    <row r="46" spans="1:10" ht="15" customHeight="1">
      <c r="A46" s="69"/>
      <c r="B46" s="69"/>
      <c r="C46" s="69"/>
      <c r="D46" s="69"/>
      <c r="E46" s="69"/>
      <c r="F46" s="69"/>
      <c r="G46" s="102" t="s">
        <v>65</v>
      </c>
      <c r="H46" s="103"/>
      <c r="I46" s="102" t="s">
        <v>95</v>
      </c>
      <c r="J46" s="103"/>
    </row>
    <row r="47" spans="1:10" ht="15" customHeight="1">
      <c r="A47" s="69"/>
      <c r="B47" s="69"/>
      <c r="C47" s="69"/>
      <c r="D47" s="69"/>
      <c r="E47" s="69"/>
      <c r="F47" s="69"/>
      <c r="G47" s="102"/>
      <c r="H47" s="103"/>
      <c r="I47" s="107" t="s">
        <v>97</v>
      </c>
      <c r="J47" s="96"/>
    </row>
    <row r="48" spans="1:10">
      <c r="A48" s="69"/>
      <c r="B48" s="69"/>
      <c r="C48" s="69"/>
      <c r="D48" s="69"/>
      <c r="E48" s="69"/>
      <c r="F48" s="69"/>
      <c r="G48" s="20"/>
      <c r="H48" s="21"/>
      <c r="I48" s="107" t="s">
        <v>98</v>
      </c>
      <c r="J48" s="96"/>
    </row>
    <row r="49" spans="7:10">
      <c r="G49" s="72"/>
      <c r="H49" s="24"/>
      <c r="I49" s="101" t="s">
        <v>96</v>
      </c>
      <c r="J49" s="98"/>
    </row>
    <row r="50" spans="7:10">
      <c r="G50" s="69"/>
      <c r="H50" s="69"/>
      <c r="I50" s="70"/>
      <c r="J50" s="70"/>
    </row>
  </sheetData>
  <mergeCells count="14">
    <mergeCell ref="I44:J44"/>
    <mergeCell ref="I45:J45"/>
    <mergeCell ref="I47:J47"/>
    <mergeCell ref="I48:J48"/>
    <mergeCell ref="A1:J2"/>
    <mergeCell ref="G12:H12"/>
    <mergeCell ref="G43:H43"/>
    <mergeCell ref="I43:J43"/>
    <mergeCell ref="G44:H44"/>
    <mergeCell ref="I49:J49"/>
    <mergeCell ref="I46:J46"/>
    <mergeCell ref="G45:H45"/>
    <mergeCell ref="G46:H46"/>
    <mergeCell ref="G47:H4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topLeftCell="A13" workbookViewId="0">
      <selection activeCell="I40" sqref="I40"/>
    </sheetView>
  </sheetViews>
  <sheetFormatPr defaultRowHeight="15"/>
  <cols>
    <col min="1" max="1" width="18.28515625" style="69" customWidth="1"/>
    <col min="2" max="2" width="14.42578125" style="69" customWidth="1"/>
    <col min="3" max="3" width="10.85546875" style="69" bestFit="1" customWidth="1"/>
    <col min="4" max="4" width="10.140625" style="69" bestFit="1" customWidth="1"/>
    <col min="5" max="5" width="13.5703125" style="69" bestFit="1" customWidth="1"/>
    <col min="6" max="6" width="9.140625" style="69"/>
    <col min="7" max="7" width="35.42578125" style="69" bestFit="1" customWidth="1"/>
    <col min="8" max="8" width="18" style="69" customWidth="1"/>
    <col min="9" max="9" width="29.140625" style="69" customWidth="1"/>
    <col min="10" max="10" width="26.28515625" style="69" customWidth="1"/>
    <col min="11" max="16384" width="9.140625" style="69"/>
  </cols>
  <sheetData>
    <row r="1" spans="1:10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>
      <c r="A3" s="11" t="s">
        <v>25</v>
      </c>
      <c r="B3" s="25">
        <f>Finansieringsbehov!I18</f>
        <v>72650189</v>
      </c>
    </row>
    <row r="4" spans="1:10">
      <c r="A4" s="12" t="s">
        <v>26</v>
      </c>
      <c r="B4" s="26">
        <v>3.4000000000000002E-2</v>
      </c>
    </row>
    <row r="5" spans="1:10">
      <c r="A5" s="12" t="s">
        <v>27</v>
      </c>
      <c r="B5" s="44">
        <v>30</v>
      </c>
    </row>
    <row r="6" spans="1:10">
      <c r="A6" s="13" t="s">
        <v>28</v>
      </c>
      <c r="B6" s="27">
        <v>14000</v>
      </c>
    </row>
    <row r="7" spans="1:10">
      <c r="G7" s="34" t="s">
        <v>29</v>
      </c>
      <c r="H7" s="35" t="s">
        <v>30</v>
      </c>
      <c r="I7" s="36" t="s">
        <v>31</v>
      </c>
      <c r="J7" s="35" t="s">
        <v>32</v>
      </c>
    </row>
    <row r="8" spans="1:10">
      <c r="A8" s="69" t="s">
        <v>33</v>
      </c>
      <c r="E8" s="4">
        <f>B3*(B4/(1-(1+B4)^-B5))</f>
        <v>3900752.6319704358</v>
      </c>
      <c r="G8" s="30">
        <f>H32</f>
        <v>3294400</v>
      </c>
      <c r="H8" s="32">
        <f>E8-G8</f>
        <v>606352.63197043585</v>
      </c>
      <c r="I8" s="31">
        <f>H8/6236</f>
        <v>97.234225781019219</v>
      </c>
      <c r="J8" s="33">
        <f>I8/12</f>
        <v>8.1028521484182683</v>
      </c>
    </row>
    <row r="9" spans="1:10">
      <c r="A9" s="69" t="s">
        <v>34</v>
      </c>
      <c r="E9" s="4">
        <f>E8/12</f>
        <v>325062.71933086967</v>
      </c>
    </row>
    <row r="10" spans="1:10">
      <c r="A10" s="69" t="s">
        <v>35</v>
      </c>
      <c r="E10" s="4">
        <f>SUM(C13:C42)</f>
        <v>44372389.959112994</v>
      </c>
    </row>
    <row r="11" spans="1:10">
      <c r="E11" s="4"/>
    </row>
    <row r="12" spans="1:10" ht="15.75">
      <c r="A12" s="6" t="s">
        <v>36</v>
      </c>
      <c r="B12" s="6" t="s">
        <v>37</v>
      </c>
      <c r="C12" s="6" t="s">
        <v>38</v>
      </c>
      <c r="D12" s="6" t="s">
        <v>39</v>
      </c>
      <c r="E12" s="6" t="s">
        <v>40</v>
      </c>
      <c r="G12" s="91" t="s">
        <v>41</v>
      </c>
      <c r="H12" s="92"/>
    </row>
    <row r="13" spans="1:10" ht="15.75">
      <c r="A13" s="3">
        <v>1</v>
      </c>
      <c r="B13" s="7">
        <f>B3</f>
        <v>72650189</v>
      </c>
      <c r="C13" s="7">
        <f>B13*$B$4</f>
        <v>2470106.426</v>
      </c>
      <c r="D13" s="7">
        <f>$E$8-C13</f>
        <v>1430646.2059704359</v>
      </c>
      <c r="E13" s="7">
        <f>B13-D13</f>
        <v>71219542.794029564</v>
      </c>
      <c r="G13" s="45" t="s">
        <v>42</v>
      </c>
      <c r="H13" s="21"/>
    </row>
    <row r="14" spans="1:10">
      <c r="A14" s="3">
        <v>2</v>
      </c>
      <c r="B14" s="7">
        <f>E13</f>
        <v>71219542.794029564</v>
      </c>
      <c r="C14" s="7">
        <f>B14*$B$4</f>
        <v>2421464.4549970054</v>
      </c>
      <c r="D14" s="7">
        <f>$E$8-C14</f>
        <v>1479288.1769734304</v>
      </c>
      <c r="E14" s="7">
        <f t="shared" ref="E14:E42" si="0">B14-D14</f>
        <v>69740254.617056131</v>
      </c>
      <c r="G14" s="20" t="s">
        <v>43</v>
      </c>
      <c r="H14" s="46">
        <v>2104000</v>
      </c>
    </row>
    <row r="15" spans="1:10">
      <c r="A15" s="3">
        <v>3</v>
      </c>
      <c r="B15" s="7">
        <f t="shared" ref="B15:B42" si="1">E14</f>
        <v>69740254.617056131</v>
      </c>
      <c r="C15" s="7">
        <f t="shared" ref="C15:C42" si="2">B15*$B$4</f>
        <v>2371168.6569799087</v>
      </c>
      <c r="D15" s="7">
        <f t="shared" ref="D15:D42" si="3">$E$8-C15</f>
        <v>1529583.9749905271</v>
      </c>
      <c r="E15" s="7">
        <f t="shared" si="0"/>
        <v>68210670.6420656</v>
      </c>
      <c r="G15" s="20" t="s">
        <v>44</v>
      </c>
      <c r="H15" s="46">
        <v>300000</v>
      </c>
    </row>
    <row r="16" spans="1:10">
      <c r="A16" s="3">
        <v>4</v>
      </c>
      <c r="B16" s="7">
        <f t="shared" si="1"/>
        <v>68210670.6420656</v>
      </c>
      <c r="C16" s="7">
        <f t="shared" si="2"/>
        <v>2319162.8018302307</v>
      </c>
      <c r="D16" s="7">
        <f t="shared" si="3"/>
        <v>1581589.8301402051</v>
      </c>
      <c r="E16" s="7">
        <f t="shared" si="0"/>
        <v>66629080.811925396</v>
      </c>
      <c r="G16" s="20" t="s">
        <v>45</v>
      </c>
      <c r="H16" s="46">
        <f>77*500*12</f>
        <v>462000</v>
      </c>
    </row>
    <row r="17" spans="1:8">
      <c r="A17" s="3">
        <v>5</v>
      </c>
      <c r="B17" s="7">
        <f t="shared" si="1"/>
        <v>66629080.811925396</v>
      </c>
      <c r="C17" s="7">
        <f t="shared" si="2"/>
        <v>2265388.7476054635</v>
      </c>
      <c r="D17" s="7">
        <f t="shared" si="3"/>
        <v>1635363.8843649724</v>
      </c>
      <c r="E17" s="7">
        <f t="shared" si="0"/>
        <v>64993716.927560426</v>
      </c>
      <c r="G17" s="20" t="s">
        <v>46</v>
      </c>
      <c r="H17" s="46">
        <f>33*650*12</f>
        <v>257400</v>
      </c>
    </row>
    <row r="18" spans="1:8">
      <c r="A18" s="3">
        <v>6</v>
      </c>
      <c r="B18" s="7">
        <f t="shared" si="1"/>
        <v>64993716.927560426</v>
      </c>
      <c r="C18" s="7">
        <f t="shared" si="2"/>
        <v>2209786.3755370546</v>
      </c>
      <c r="D18" s="7">
        <f t="shared" si="3"/>
        <v>1690966.2564333812</v>
      </c>
      <c r="E18" s="7">
        <f t="shared" si="0"/>
        <v>63302750.671127044</v>
      </c>
      <c r="G18" s="20" t="s">
        <v>91</v>
      </c>
      <c r="H18" s="46">
        <f>1000*1500</f>
        <v>1500000</v>
      </c>
    </row>
    <row r="19" spans="1:8" ht="15" customHeight="1">
      <c r="A19" s="3">
        <v>7</v>
      </c>
      <c r="B19" s="7">
        <f t="shared" si="1"/>
        <v>63302750.671127044</v>
      </c>
      <c r="C19" s="7">
        <f t="shared" si="2"/>
        <v>2152293.5228183195</v>
      </c>
      <c r="D19" s="7">
        <f t="shared" si="3"/>
        <v>1748459.1091521163</v>
      </c>
      <c r="E19" s="7">
        <f t="shared" si="0"/>
        <v>61554291.561974928</v>
      </c>
      <c r="G19" s="20" t="s">
        <v>48</v>
      </c>
      <c r="H19" s="46">
        <v>193000</v>
      </c>
    </row>
    <row r="20" spans="1:8" ht="15" customHeight="1">
      <c r="A20" s="3">
        <v>8</v>
      </c>
      <c r="B20" s="7">
        <f t="shared" si="1"/>
        <v>61554291.561974928</v>
      </c>
      <c r="C20" s="7">
        <f t="shared" si="2"/>
        <v>2092845.9131071477</v>
      </c>
      <c r="D20" s="7">
        <f t="shared" si="3"/>
        <v>1807906.7188632882</v>
      </c>
      <c r="E20" s="7">
        <f t="shared" si="0"/>
        <v>59746384.843111642</v>
      </c>
      <c r="G20" s="20" t="s">
        <v>49</v>
      </c>
      <c r="H20" s="47">
        <v>43000</v>
      </c>
    </row>
    <row r="21" spans="1:8" ht="15" customHeight="1">
      <c r="A21" s="3">
        <v>9</v>
      </c>
      <c r="B21" s="7">
        <f t="shared" si="1"/>
        <v>59746384.843111642</v>
      </c>
      <c r="C21" s="7">
        <f t="shared" si="2"/>
        <v>2031377.084665796</v>
      </c>
      <c r="D21" s="7">
        <f t="shared" si="3"/>
        <v>1869375.5473046398</v>
      </c>
      <c r="E21" s="7">
        <f t="shared" si="0"/>
        <v>57877009.295807004</v>
      </c>
      <c r="G21" s="20"/>
      <c r="H21" s="46">
        <f>SUM(H14:H20)</f>
        <v>4859400</v>
      </c>
    </row>
    <row r="22" spans="1:8" ht="15" customHeight="1">
      <c r="A22" s="3">
        <v>10</v>
      </c>
      <c r="B22" s="7">
        <f t="shared" si="1"/>
        <v>57877009.295807004</v>
      </c>
      <c r="C22" s="7">
        <f t="shared" si="2"/>
        <v>1967818.3160574383</v>
      </c>
      <c r="D22" s="7">
        <f t="shared" si="3"/>
        <v>1932934.3159129976</v>
      </c>
      <c r="E22" s="7">
        <f t="shared" si="0"/>
        <v>55944074.979894005</v>
      </c>
      <c r="G22" s="20"/>
      <c r="H22" s="21"/>
    </row>
    <row r="23" spans="1:8" ht="15" customHeight="1">
      <c r="A23" s="3">
        <v>11</v>
      </c>
      <c r="B23" s="7">
        <f t="shared" si="1"/>
        <v>55944074.979894005</v>
      </c>
      <c r="C23" s="7">
        <f t="shared" si="2"/>
        <v>1902098.5493163962</v>
      </c>
      <c r="D23" s="7">
        <f t="shared" si="3"/>
        <v>1998654.0826540396</v>
      </c>
      <c r="E23" s="7">
        <f t="shared" si="0"/>
        <v>53945420.897239968</v>
      </c>
      <c r="G23" s="45" t="s">
        <v>50</v>
      </c>
      <c r="H23" s="21"/>
    </row>
    <row r="24" spans="1:8" ht="15" customHeight="1">
      <c r="A24" s="3">
        <v>12</v>
      </c>
      <c r="B24" s="7">
        <f t="shared" si="1"/>
        <v>53945420.897239968</v>
      </c>
      <c r="C24" s="7">
        <f t="shared" si="2"/>
        <v>1834144.310506159</v>
      </c>
      <c r="D24" s="7">
        <f t="shared" si="3"/>
        <v>2066608.3214642769</v>
      </c>
      <c r="E24" s="7">
        <f t="shared" si="0"/>
        <v>51878812.57577569</v>
      </c>
      <c r="G24" s="20" t="s">
        <v>51</v>
      </c>
      <c r="H24" s="46">
        <v>240000</v>
      </c>
    </row>
    <row r="25" spans="1:8">
      <c r="A25" s="3">
        <v>13</v>
      </c>
      <c r="B25" s="7">
        <f t="shared" si="1"/>
        <v>51878812.57577569</v>
      </c>
      <c r="C25" s="7">
        <f t="shared" si="2"/>
        <v>1763879.6275763735</v>
      </c>
      <c r="D25" s="7">
        <f t="shared" si="3"/>
        <v>2136873.0043940623</v>
      </c>
      <c r="E25" s="7">
        <f t="shared" si="0"/>
        <v>49741939.571381629</v>
      </c>
      <c r="G25" s="20" t="s">
        <v>52</v>
      </c>
      <c r="H25" s="46">
        <v>200000</v>
      </c>
    </row>
    <row r="26" spans="1:8">
      <c r="A26" s="3">
        <v>14</v>
      </c>
      <c r="B26" s="7">
        <f t="shared" si="1"/>
        <v>49741939.571381629</v>
      </c>
      <c r="C26" s="7">
        <f t="shared" si="2"/>
        <v>1691225.9454269754</v>
      </c>
      <c r="D26" s="7">
        <f t="shared" si="3"/>
        <v>2209526.6865434605</v>
      </c>
      <c r="E26" s="7">
        <f t="shared" si="0"/>
        <v>47532412.884838171</v>
      </c>
      <c r="G26" s="20" t="s">
        <v>53</v>
      </c>
      <c r="H26" s="46">
        <v>375000</v>
      </c>
    </row>
    <row r="27" spans="1:8">
      <c r="A27" s="3">
        <v>15</v>
      </c>
      <c r="B27" s="7">
        <f t="shared" si="1"/>
        <v>47532412.884838171</v>
      </c>
      <c r="C27" s="7">
        <f t="shared" si="2"/>
        <v>1616102.0380844979</v>
      </c>
      <c r="D27" s="7">
        <f t="shared" si="3"/>
        <v>2284650.5938859377</v>
      </c>
      <c r="E27" s="7">
        <f t="shared" si="0"/>
        <v>45247762.290952235</v>
      </c>
      <c r="G27" s="20" t="s">
        <v>54</v>
      </c>
      <c r="H27" s="46">
        <v>541000</v>
      </c>
    </row>
    <row r="28" spans="1:8">
      <c r="A28" s="3">
        <v>16</v>
      </c>
      <c r="B28" s="7">
        <f t="shared" si="1"/>
        <v>45247762.290952235</v>
      </c>
      <c r="C28" s="7">
        <f t="shared" si="2"/>
        <v>1538423.9178923762</v>
      </c>
      <c r="D28" s="7">
        <f t="shared" si="3"/>
        <v>2362328.7140780594</v>
      </c>
      <c r="E28" s="7">
        <f t="shared" si="0"/>
        <v>42885433.576874174</v>
      </c>
      <c r="G28" s="20" t="s">
        <v>55</v>
      </c>
      <c r="H28" s="46">
        <v>209000</v>
      </c>
    </row>
    <row r="29" spans="1:8">
      <c r="A29" s="3">
        <v>17</v>
      </c>
      <c r="B29" s="7">
        <f t="shared" si="1"/>
        <v>42885433.576874174</v>
      </c>
      <c r="C29" s="7">
        <f t="shared" si="2"/>
        <v>1458104.7416137219</v>
      </c>
      <c r="D29" s="7">
        <f t="shared" si="3"/>
        <v>2442647.8903567139</v>
      </c>
      <c r="E29" s="7">
        <f t="shared" si="0"/>
        <v>40442785.686517462</v>
      </c>
      <c r="G29" s="20" t="s">
        <v>56</v>
      </c>
      <c r="H29" s="55">
        <v>0</v>
      </c>
    </row>
    <row r="30" spans="1:8">
      <c r="A30" s="3">
        <v>18</v>
      </c>
      <c r="B30" s="7">
        <f t="shared" si="1"/>
        <v>40442785.686517462</v>
      </c>
      <c r="C30" s="7">
        <f t="shared" si="2"/>
        <v>1375054.7133415937</v>
      </c>
      <c r="D30" s="7">
        <f t="shared" si="3"/>
        <v>2525697.9186288421</v>
      </c>
      <c r="E30" s="7">
        <f t="shared" si="0"/>
        <v>37917087.76788862</v>
      </c>
      <c r="G30" s="20"/>
      <c r="H30" s="46">
        <f>SUM(H24:H29)</f>
        <v>1565000</v>
      </c>
    </row>
    <row r="31" spans="1:8">
      <c r="A31" s="3">
        <v>19</v>
      </c>
      <c r="B31" s="7">
        <f t="shared" si="1"/>
        <v>37917087.76788862</v>
      </c>
      <c r="C31" s="7">
        <f t="shared" si="2"/>
        <v>1289180.9841082131</v>
      </c>
      <c r="D31" s="7">
        <f t="shared" si="3"/>
        <v>2611571.647862223</v>
      </c>
      <c r="E31" s="7">
        <f t="shared" si="0"/>
        <v>35305516.120026395</v>
      </c>
      <c r="G31" s="20"/>
      <c r="H31" s="21"/>
    </row>
    <row r="32" spans="1:8">
      <c r="A32" s="3">
        <v>20</v>
      </c>
      <c r="B32" s="7">
        <f t="shared" si="1"/>
        <v>35305516.120026395</v>
      </c>
      <c r="C32" s="7">
        <f t="shared" si="2"/>
        <v>1200387.5480808974</v>
      </c>
      <c r="D32" s="7">
        <f t="shared" si="3"/>
        <v>2700365.0838895384</v>
      </c>
      <c r="E32" s="7">
        <f t="shared" si="0"/>
        <v>32605151.036136858</v>
      </c>
      <c r="G32" s="12" t="s">
        <v>57</v>
      </c>
      <c r="H32" s="48">
        <f>H21-H30</f>
        <v>3294400</v>
      </c>
    </row>
    <row r="33" spans="1:10">
      <c r="A33" s="3">
        <v>21</v>
      </c>
      <c r="B33" s="7">
        <f t="shared" si="1"/>
        <v>32605151.036136858</v>
      </c>
      <c r="C33" s="7">
        <f t="shared" si="2"/>
        <v>1108575.1352286532</v>
      </c>
      <c r="D33" s="7">
        <f t="shared" si="3"/>
        <v>2792177.4967417829</v>
      </c>
      <c r="E33" s="7">
        <f t="shared" si="0"/>
        <v>29812973.539395075</v>
      </c>
      <c r="G33" s="20"/>
      <c r="H33" s="21"/>
    </row>
    <row r="34" spans="1:10">
      <c r="A34" s="3">
        <v>22</v>
      </c>
      <c r="B34" s="7">
        <f t="shared" si="1"/>
        <v>29812973.539395075</v>
      </c>
      <c r="C34" s="7">
        <f t="shared" si="2"/>
        <v>1013641.1003394326</v>
      </c>
      <c r="D34" s="7">
        <f t="shared" si="3"/>
        <v>2887111.5316310031</v>
      </c>
      <c r="E34" s="7">
        <f t="shared" si="0"/>
        <v>26925862.007764071</v>
      </c>
      <c r="G34" s="12" t="s">
        <v>58</v>
      </c>
      <c r="H34" s="47">
        <f>B3*B4</f>
        <v>2470106.426</v>
      </c>
    </row>
    <row r="35" spans="1:10">
      <c r="A35" s="3">
        <v>23</v>
      </c>
      <c r="B35" s="7">
        <f t="shared" si="1"/>
        <v>26925862.007764071</v>
      </c>
      <c r="C35" s="7">
        <f t="shared" si="2"/>
        <v>915479.30826397846</v>
      </c>
      <c r="D35" s="7">
        <f t="shared" si="3"/>
        <v>2985273.3237064574</v>
      </c>
      <c r="E35" s="7">
        <f t="shared" si="0"/>
        <v>23940588.684057616</v>
      </c>
      <c r="G35" s="20"/>
      <c r="H35" s="21"/>
    </row>
    <row r="36" spans="1:10">
      <c r="A36" s="3">
        <v>24</v>
      </c>
      <c r="B36" s="7">
        <f t="shared" si="1"/>
        <v>23940588.684057616</v>
      </c>
      <c r="C36" s="7">
        <f t="shared" si="2"/>
        <v>813980.01525795902</v>
      </c>
      <c r="D36" s="7">
        <f t="shared" si="3"/>
        <v>3086772.6167124771</v>
      </c>
      <c r="E36" s="7">
        <f t="shared" si="0"/>
        <v>20853816.067345139</v>
      </c>
      <c r="G36" s="12" t="s">
        <v>59</v>
      </c>
      <c r="H36" s="48">
        <f>H32-H34</f>
        <v>824293.57400000002</v>
      </c>
    </row>
    <row r="37" spans="1:10">
      <c r="A37" s="3">
        <v>25</v>
      </c>
      <c r="B37" s="7">
        <f t="shared" si="1"/>
        <v>20853816.067345139</v>
      </c>
      <c r="C37" s="7">
        <f t="shared" si="2"/>
        <v>709029.74628973473</v>
      </c>
      <c r="D37" s="7">
        <f t="shared" si="3"/>
        <v>3191722.8856807011</v>
      </c>
      <c r="E37" s="7">
        <f t="shared" si="0"/>
        <v>17662093.181664437</v>
      </c>
      <c r="G37" s="12"/>
      <c r="H37" s="21"/>
    </row>
    <row r="38" spans="1:10">
      <c r="A38" s="3">
        <v>26</v>
      </c>
      <c r="B38" s="7">
        <f t="shared" si="1"/>
        <v>17662093.181664437</v>
      </c>
      <c r="C38" s="7">
        <f t="shared" si="2"/>
        <v>600511.16817659093</v>
      </c>
      <c r="D38" s="7">
        <f t="shared" si="3"/>
        <v>3300241.4637938449</v>
      </c>
      <c r="E38" s="7">
        <f t="shared" si="0"/>
        <v>14361851.717870593</v>
      </c>
      <c r="G38" s="12" t="s">
        <v>39</v>
      </c>
      <c r="H38" s="49">
        <f>H36</f>
        <v>824293.57400000002</v>
      </c>
    </row>
    <row r="39" spans="1:10">
      <c r="A39" s="3">
        <v>27</v>
      </c>
      <c r="B39" s="7">
        <f t="shared" si="1"/>
        <v>14361851.717870593</v>
      </c>
      <c r="C39" s="7">
        <f t="shared" si="2"/>
        <v>488302.95840760018</v>
      </c>
      <c r="D39" s="7">
        <f t="shared" si="3"/>
        <v>3412449.6735628359</v>
      </c>
      <c r="E39" s="7">
        <f t="shared" si="0"/>
        <v>10949402.044307757</v>
      </c>
      <c r="G39" s="12"/>
      <c r="H39" s="21"/>
    </row>
    <row r="40" spans="1:10">
      <c r="A40" s="3">
        <v>28</v>
      </c>
      <c r="B40" s="7">
        <f t="shared" si="1"/>
        <v>10949402.044307757</v>
      </c>
      <c r="C40" s="7">
        <f t="shared" si="2"/>
        <v>372279.66950646375</v>
      </c>
      <c r="D40" s="7">
        <f t="shared" si="3"/>
        <v>3528472.9624639722</v>
      </c>
      <c r="E40" s="7">
        <f t="shared" si="0"/>
        <v>7420929.081843785</v>
      </c>
      <c r="G40" s="13" t="s">
        <v>60</v>
      </c>
      <c r="H40" s="50">
        <f>H36-H38</f>
        <v>0</v>
      </c>
    </row>
    <row r="41" spans="1:10">
      <c r="A41" s="3">
        <v>29</v>
      </c>
      <c r="B41" s="7">
        <f t="shared" si="1"/>
        <v>7420929.081843785</v>
      </c>
      <c r="C41" s="7">
        <f t="shared" si="2"/>
        <v>252311.58878268872</v>
      </c>
      <c r="D41" s="7">
        <f t="shared" si="3"/>
        <v>3648441.0431877472</v>
      </c>
      <c r="E41" s="7">
        <f t="shared" si="0"/>
        <v>3772488.0386560378</v>
      </c>
    </row>
    <row r="42" spans="1:10">
      <c r="A42" s="3">
        <v>30</v>
      </c>
      <c r="B42" s="7">
        <f t="shared" si="1"/>
        <v>3772488.0386560378</v>
      </c>
      <c r="C42" s="7">
        <f t="shared" si="2"/>
        <v>128264.5933143053</v>
      </c>
      <c r="D42" s="7">
        <f t="shared" si="3"/>
        <v>3772488.0386561304</v>
      </c>
      <c r="E42" s="7">
        <f t="shared" si="0"/>
        <v>-9.2666596174240112E-8</v>
      </c>
    </row>
    <row r="43" spans="1:10" ht="15.75">
      <c r="G43" s="108" t="s">
        <v>61</v>
      </c>
      <c r="H43" s="109"/>
      <c r="I43" s="108" t="s">
        <v>62</v>
      </c>
      <c r="J43" s="109"/>
    </row>
    <row r="44" spans="1:10">
      <c r="G44" s="110" t="s">
        <v>70</v>
      </c>
      <c r="H44" s="105"/>
      <c r="I44" s="104" t="s">
        <v>92</v>
      </c>
      <c r="J44" s="105"/>
    </row>
    <row r="45" spans="1:10" ht="15" customHeight="1">
      <c r="G45" s="102" t="s">
        <v>72</v>
      </c>
      <c r="H45" s="103"/>
      <c r="I45" s="106" t="s">
        <v>99</v>
      </c>
      <c r="J45" s="103"/>
    </row>
    <row r="46" spans="1:10" ht="15" customHeight="1">
      <c r="G46" s="102" t="s">
        <v>65</v>
      </c>
      <c r="H46" s="103"/>
      <c r="I46" s="102" t="s">
        <v>100</v>
      </c>
      <c r="J46" s="103"/>
    </row>
    <row r="47" spans="1:10" ht="15" customHeight="1">
      <c r="G47" s="102"/>
      <c r="H47" s="103"/>
      <c r="I47" s="107" t="s">
        <v>103</v>
      </c>
      <c r="J47" s="96"/>
    </row>
    <row r="48" spans="1:10">
      <c r="G48" s="20"/>
      <c r="H48" s="21"/>
      <c r="I48" s="107" t="s">
        <v>102</v>
      </c>
      <c r="J48" s="96"/>
    </row>
    <row r="49" spans="7:10">
      <c r="G49" s="72"/>
      <c r="H49" s="24"/>
      <c r="I49" s="101" t="s">
        <v>101</v>
      </c>
      <c r="J49" s="98"/>
    </row>
    <row r="50" spans="7:10">
      <c r="I50" s="70"/>
      <c r="J50" s="70"/>
    </row>
  </sheetData>
  <mergeCells count="14">
    <mergeCell ref="A1:J2"/>
    <mergeCell ref="G12:H12"/>
    <mergeCell ref="G43:H43"/>
    <mergeCell ref="I43:J43"/>
    <mergeCell ref="G44:H44"/>
    <mergeCell ref="I44:J44"/>
    <mergeCell ref="I48:J48"/>
    <mergeCell ref="I49:J49"/>
    <mergeCell ref="G45:H45"/>
    <mergeCell ref="I45:J45"/>
    <mergeCell ref="G46:H46"/>
    <mergeCell ref="I46:J46"/>
    <mergeCell ref="G47:H47"/>
    <mergeCell ref="I47:J4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I17" sqref="I17"/>
    </sheetView>
  </sheetViews>
  <sheetFormatPr defaultRowHeight="15"/>
  <cols>
    <col min="1" max="1" width="18.28515625" customWidth="1"/>
    <col min="2" max="2" width="14.42578125" customWidth="1"/>
    <col min="3" max="3" width="10.85546875" bestFit="1" customWidth="1"/>
    <col min="4" max="4" width="10.140625" bestFit="1" customWidth="1"/>
    <col min="5" max="5" width="13.5703125" bestFit="1" customWidth="1"/>
    <col min="7" max="7" width="35.42578125" bestFit="1" customWidth="1"/>
    <col min="8" max="8" width="18" customWidth="1"/>
    <col min="9" max="9" width="29.140625" customWidth="1"/>
    <col min="10" max="10" width="26.28515625" customWidth="1"/>
  </cols>
  <sheetData>
    <row r="1" spans="1:10" s="69" customFormat="1">
      <c r="A1" s="82" t="s">
        <v>84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69" customForma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>
      <c r="A3" s="11" t="s">
        <v>25</v>
      </c>
      <c r="B3" s="25">
        <f>Finansieringsbehov!L18</f>
        <v>34940000</v>
      </c>
      <c r="C3" s="69"/>
      <c r="D3" s="69"/>
      <c r="E3" s="69"/>
      <c r="F3" s="69"/>
      <c r="G3" s="69"/>
      <c r="H3" s="69"/>
      <c r="I3" s="69"/>
      <c r="J3" s="69"/>
    </row>
    <row r="4" spans="1:10">
      <c r="A4" s="12" t="s">
        <v>26</v>
      </c>
      <c r="B4" s="26">
        <v>3.4000000000000002E-2</v>
      </c>
      <c r="C4" s="69"/>
      <c r="D4" s="69"/>
      <c r="E4" s="69"/>
      <c r="F4" s="69"/>
      <c r="G4" s="69"/>
      <c r="H4" s="69"/>
      <c r="I4" s="69"/>
      <c r="J4" s="69"/>
    </row>
    <row r="5" spans="1:10">
      <c r="A5" s="12" t="s">
        <v>27</v>
      </c>
      <c r="B5" s="44">
        <v>30</v>
      </c>
      <c r="C5" s="69"/>
      <c r="D5" s="69"/>
      <c r="E5" s="69"/>
      <c r="F5" s="69"/>
      <c r="G5" s="69"/>
      <c r="H5" s="69"/>
      <c r="I5" s="69"/>
      <c r="J5" s="69"/>
    </row>
    <row r="6" spans="1:10">
      <c r="A6" s="13" t="s">
        <v>28</v>
      </c>
      <c r="B6" s="27">
        <v>14000</v>
      </c>
      <c r="C6" s="69"/>
      <c r="D6" s="69"/>
      <c r="E6" s="69"/>
      <c r="F6" s="69"/>
      <c r="G6" s="69"/>
      <c r="H6" s="69"/>
      <c r="I6" s="69"/>
      <c r="J6" s="69"/>
    </row>
    <row r="7" spans="1:10">
      <c r="A7" s="69"/>
      <c r="B7" s="69"/>
      <c r="C7" s="69"/>
      <c r="D7" s="69"/>
      <c r="E7" s="69"/>
      <c r="F7" s="69"/>
      <c r="G7" s="34" t="s">
        <v>29</v>
      </c>
      <c r="H7" s="35" t="s">
        <v>30</v>
      </c>
      <c r="I7" s="36" t="s">
        <v>31</v>
      </c>
      <c r="J7" s="35" t="s">
        <v>32</v>
      </c>
    </row>
    <row r="8" spans="1:10">
      <c r="A8" s="69" t="s">
        <v>33</v>
      </c>
      <c r="B8" s="69"/>
      <c r="C8" s="69"/>
      <c r="D8" s="69"/>
      <c r="E8" s="4">
        <f>B3*(B4/(1-(1+B4)^-B5))</f>
        <v>1876007.4658724843</v>
      </c>
      <c r="F8" s="69"/>
      <c r="G8" s="30">
        <f>H32</f>
        <v>1537000</v>
      </c>
      <c r="H8" s="32">
        <f>E8-G8</f>
        <v>339007.46587248426</v>
      </c>
      <c r="I8" s="31">
        <f>H8/6236</f>
        <v>54.362967586992347</v>
      </c>
      <c r="J8" s="33">
        <f>I8/12</f>
        <v>4.530247298916029</v>
      </c>
    </row>
    <row r="9" spans="1:10">
      <c r="A9" s="69" t="s">
        <v>34</v>
      </c>
      <c r="B9" s="69"/>
      <c r="C9" s="69"/>
      <c r="D9" s="69"/>
      <c r="E9" s="4">
        <f>E8/12</f>
        <v>156333.95548937368</v>
      </c>
      <c r="F9" s="69"/>
      <c r="G9" s="69"/>
      <c r="H9" s="69"/>
      <c r="I9" s="69"/>
      <c r="J9" s="69"/>
    </row>
    <row r="10" spans="1:10">
      <c r="A10" s="69" t="s">
        <v>35</v>
      </c>
      <c r="B10" s="69"/>
      <c r="C10" s="69"/>
      <c r="D10" s="69"/>
      <c r="E10" s="4">
        <f>SUM(C13:C42)</f>
        <v>21340223.976174485</v>
      </c>
      <c r="F10" s="69"/>
      <c r="G10" s="69"/>
      <c r="H10" s="69"/>
      <c r="I10" s="69"/>
      <c r="J10" s="69"/>
    </row>
    <row r="11" spans="1:10">
      <c r="A11" s="69"/>
      <c r="B11" s="69"/>
      <c r="C11" s="69"/>
      <c r="D11" s="69"/>
      <c r="E11" s="4"/>
      <c r="F11" s="69"/>
      <c r="G11" s="69"/>
      <c r="H11" s="69"/>
      <c r="I11" s="69"/>
      <c r="J11" s="69"/>
    </row>
    <row r="12" spans="1:10" ht="15.75">
      <c r="A12" s="6" t="s">
        <v>36</v>
      </c>
      <c r="B12" s="6" t="s">
        <v>37</v>
      </c>
      <c r="C12" s="6" t="s">
        <v>38</v>
      </c>
      <c r="D12" s="6" t="s">
        <v>39</v>
      </c>
      <c r="E12" s="6" t="s">
        <v>40</v>
      </c>
      <c r="F12" s="69"/>
      <c r="G12" s="91" t="s">
        <v>41</v>
      </c>
      <c r="H12" s="92"/>
      <c r="I12" s="69"/>
      <c r="J12" s="69"/>
    </row>
    <row r="13" spans="1:10" ht="15.75">
      <c r="A13" s="3">
        <v>1</v>
      </c>
      <c r="B13" s="7">
        <f>B3</f>
        <v>34940000</v>
      </c>
      <c r="C13" s="7">
        <f>B13*$B$4</f>
        <v>1187960</v>
      </c>
      <c r="D13" s="7">
        <f>$E$8-C13</f>
        <v>688047.46587248426</v>
      </c>
      <c r="E13" s="7">
        <f>B13-D13</f>
        <v>34251952.534127519</v>
      </c>
      <c r="F13" s="69"/>
      <c r="G13" s="45" t="s">
        <v>42</v>
      </c>
      <c r="H13" s="21"/>
      <c r="I13" s="69"/>
      <c r="J13" s="69"/>
    </row>
    <row r="14" spans="1:10">
      <c r="A14" s="3">
        <v>2</v>
      </c>
      <c r="B14" s="7">
        <f>E13</f>
        <v>34251952.534127519</v>
      </c>
      <c r="C14" s="7">
        <f>B14*$B$4</f>
        <v>1164566.3861603357</v>
      </c>
      <c r="D14" s="7">
        <f>$E$8-C14</f>
        <v>711441.07971214852</v>
      </c>
      <c r="E14" s="7">
        <f t="shared" ref="E14:E42" si="0">B14-D14</f>
        <v>33540511.45441537</v>
      </c>
      <c r="F14" s="69"/>
      <c r="G14" s="20" t="s">
        <v>43</v>
      </c>
      <c r="H14" s="46">
        <v>2104000</v>
      </c>
      <c r="I14" s="69"/>
      <c r="J14" s="69"/>
    </row>
    <row r="15" spans="1:10">
      <c r="A15" s="3">
        <v>3</v>
      </c>
      <c r="B15" s="7">
        <f t="shared" ref="B15:B42" si="1">E14</f>
        <v>33540511.45441537</v>
      </c>
      <c r="C15" s="7">
        <f t="shared" ref="C15:C42" si="2">B15*$B$4</f>
        <v>1140377.3894501226</v>
      </c>
      <c r="D15" s="7">
        <f t="shared" ref="D15:D42" si="3">$E$8-C15</f>
        <v>735630.07642236166</v>
      </c>
      <c r="E15" s="7">
        <f t="shared" si="0"/>
        <v>32804881.37799301</v>
      </c>
      <c r="F15" s="69"/>
      <c r="G15" s="20" t="s">
        <v>44</v>
      </c>
      <c r="H15" s="46">
        <v>300000</v>
      </c>
      <c r="I15" s="69"/>
      <c r="J15" s="69"/>
    </row>
    <row r="16" spans="1:10">
      <c r="A16" s="3">
        <v>4</v>
      </c>
      <c r="B16" s="7">
        <f t="shared" si="1"/>
        <v>32804881.37799301</v>
      </c>
      <c r="C16" s="7">
        <f t="shared" si="2"/>
        <v>1115365.9668517625</v>
      </c>
      <c r="D16" s="7">
        <f t="shared" si="3"/>
        <v>760641.49902072176</v>
      </c>
      <c r="E16" s="7">
        <f t="shared" si="0"/>
        <v>32044239.878972288</v>
      </c>
      <c r="F16" s="69"/>
      <c r="G16" s="20" t="s">
        <v>45</v>
      </c>
      <c r="H16" s="46">
        <f>77*500*12</f>
        <v>462000</v>
      </c>
      <c r="I16" s="69"/>
      <c r="J16" s="69"/>
    </row>
    <row r="17" spans="1:8">
      <c r="A17" s="3">
        <v>5</v>
      </c>
      <c r="B17" s="7">
        <f t="shared" si="1"/>
        <v>32044239.878972288</v>
      </c>
      <c r="C17" s="7">
        <f t="shared" si="2"/>
        <v>1089504.155885058</v>
      </c>
      <c r="D17" s="7">
        <f t="shared" si="3"/>
        <v>786503.30998742627</v>
      </c>
      <c r="E17" s="7">
        <f t="shared" si="0"/>
        <v>31257736.568984862</v>
      </c>
      <c r="F17" s="69"/>
      <c r="G17" s="20" t="s">
        <v>46</v>
      </c>
      <c r="H17" s="53">
        <v>0</v>
      </c>
    </row>
    <row r="18" spans="1:8">
      <c r="A18" s="3">
        <v>6</v>
      </c>
      <c r="B18" s="7">
        <f t="shared" si="1"/>
        <v>31257736.568984862</v>
      </c>
      <c r="C18" s="7">
        <f t="shared" si="2"/>
        <v>1062763.0433454853</v>
      </c>
      <c r="D18" s="7">
        <f t="shared" si="3"/>
        <v>813244.42252699891</v>
      </c>
      <c r="E18" s="7">
        <f t="shared" si="0"/>
        <v>30444492.146457862</v>
      </c>
      <c r="F18" s="69"/>
      <c r="G18" s="20" t="s">
        <v>47</v>
      </c>
      <c r="H18" s="53">
        <v>0</v>
      </c>
    </row>
    <row r="19" spans="1:8" ht="15" customHeight="1">
      <c r="A19" s="3">
        <v>7</v>
      </c>
      <c r="B19" s="7">
        <f t="shared" si="1"/>
        <v>30444492.146457862</v>
      </c>
      <c r="C19" s="7">
        <f t="shared" si="2"/>
        <v>1035112.7329795674</v>
      </c>
      <c r="D19" s="7">
        <f t="shared" si="3"/>
        <v>840894.73289291689</v>
      </c>
      <c r="E19" s="7">
        <f t="shared" si="0"/>
        <v>29603597.413564947</v>
      </c>
      <c r="F19" s="69"/>
      <c r="G19" s="20" t="s">
        <v>48</v>
      </c>
      <c r="H19" s="46">
        <v>193000</v>
      </c>
    </row>
    <row r="20" spans="1:8" ht="15" customHeight="1">
      <c r="A20" s="3">
        <v>8</v>
      </c>
      <c r="B20" s="7">
        <f t="shared" si="1"/>
        <v>29603597.413564947</v>
      </c>
      <c r="C20" s="7">
        <f t="shared" si="2"/>
        <v>1006522.3120612083</v>
      </c>
      <c r="D20" s="7">
        <f t="shared" si="3"/>
        <v>869485.15381127596</v>
      </c>
      <c r="E20" s="7">
        <f t="shared" si="0"/>
        <v>28734112.259753671</v>
      </c>
      <c r="F20" s="69"/>
      <c r="G20" s="20" t="s">
        <v>49</v>
      </c>
      <c r="H20" s="47">
        <v>43000</v>
      </c>
    </row>
    <row r="21" spans="1:8" ht="15" customHeight="1">
      <c r="A21" s="3">
        <v>9</v>
      </c>
      <c r="B21" s="7">
        <f t="shared" si="1"/>
        <v>28734112.259753671</v>
      </c>
      <c r="C21" s="7">
        <f t="shared" si="2"/>
        <v>976959.81683162483</v>
      </c>
      <c r="D21" s="7">
        <f t="shared" si="3"/>
        <v>899047.64904085943</v>
      </c>
      <c r="E21" s="7">
        <f t="shared" si="0"/>
        <v>27835064.610712811</v>
      </c>
      <c r="F21" s="69"/>
      <c r="G21" s="20"/>
      <c r="H21" s="46">
        <f>SUM(H14:H20)</f>
        <v>3102000</v>
      </c>
    </row>
    <row r="22" spans="1:8" ht="15" customHeight="1">
      <c r="A22" s="3">
        <v>10</v>
      </c>
      <c r="B22" s="7">
        <f t="shared" si="1"/>
        <v>27835064.610712811</v>
      </c>
      <c r="C22" s="7">
        <f t="shared" si="2"/>
        <v>946392.19676423562</v>
      </c>
      <c r="D22" s="7">
        <f t="shared" si="3"/>
        <v>929615.26910824864</v>
      </c>
      <c r="E22" s="7">
        <f t="shared" si="0"/>
        <v>26905449.341604564</v>
      </c>
      <c r="F22" s="69"/>
      <c r="G22" s="20"/>
      <c r="H22" s="21"/>
    </row>
    <row r="23" spans="1:8" ht="15" customHeight="1">
      <c r="A23" s="3">
        <v>11</v>
      </c>
      <c r="B23" s="7">
        <f t="shared" si="1"/>
        <v>26905449.341604564</v>
      </c>
      <c r="C23" s="7">
        <f t="shared" si="2"/>
        <v>914785.27761455521</v>
      </c>
      <c r="D23" s="7">
        <f t="shared" si="3"/>
        <v>961222.18825792905</v>
      </c>
      <c r="E23" s="7">
        <f t="shared" si="0"/>
        <v>25944227.153346635</v>
      </c>
      <c r="F23" s="69"/>
      <c r="G23" s="45" t="s">
        <v>50</v>
      </c>
      <c r="H23" s="21"/>
    </row>
    <row r="24" spans="1:8" ht="15" customHeight="1">
      <c r="A24" s="3">
        <v>12</v>
      </c>
      <c r="B24" s="7">
        <f t="shared" si="1"/>
        <v>25944227.153346635</v>
      </c>
      <c r="C24" s="7">
        <f t="shared" si="2"/>
        <v>882103.72321378568</v>
      </c>
      <c r="D24" s="7">
        <f t="shared" si="3"/>
        <v>993903.74265869858</v>
      </c>
      <c r="E24" s="7">
        <f t="shared" si="0"/>
        <v>24950323.410687938</v>
      </c>
      <c r="F24" s="69"/>
      <c r="G24" s="20" t="s">
        <v>51</v>
      </c>
      <c r="H24" s="46">
        <v>240000</v>
      </c>
    </row>
    <row r="25" spans="1:8">
      <c r="A25" s="3">
        <v>13</v>
      </c>
      <c r="B25" s="7">
        <f t="shared" si="1"/>
        <v>24950323.410687938</v>
      </c>
      <c r="C25" s="7">
        <f t="shared" si="2"/>
        <v>848310.99596338999</v>
      </c>
      <c r="D25" s="7">
        <f t="shared" si="3"/>
        <v>1027696.4699090943</v>
      </c>
      <c r="E25" s="7">
        <f t="shared" si="0"/>
        <v>23922626.940778844</v>
      </c>
      <c r="F25" s="69"/>
      <c r="G25" s="20" t="s">
        <v>52</v>
      </c>
      <c r="H25" s="46">
        <v>200000</v>
      </c>
    </row>
    <row r="26" spans="1:8">
      <c r="A26" s="3">
        <v>14</v>
      </c>
      <c r="B26" s="7">
        <f t="shared" si="1"/>
        <v>23922626.940778844</v>
      </c>
      <c r="C26" s="7">
        <f t="shared" si="2"/>
        <v>813369.3159864808</v>
      </c>
      <c r="D26" s="7">
        <f t="shared" si="3"/>
        <v>1062638.1498860035</v>
      </c>
      <c r="E26" s="7">
        <f t="shared" si="0"/>
        <v>22859988.790892839</v>
      </c>
      <c r="F26" s="69"/>
      <c r="G26" s="20" t="s">
        <v>53</v>
      </c>
      <c r="H26" s="46">
        <v>375000</v>
      </c>
    </row>
    <row r="27" spans="1:8">
      <c r="A27" s="3">
        <v>15</v>
      </c>
      <c r="B27" s="7">
        <f t="shared" si="1"/>
        <v>22859988.790892839</v>
      </c>
      <c r="C27" s="7">
        <f t="shared" si="2"/>
        <v>777239.61889035662</v>
      </c>
      <c r="D27" s="7">
        <f t="shared" si="3"/>
        <v>1098767.8469821275</v>
      </c>
      <c r="E27" s="7">
        <f t="shared" si="0"/>
        <v>21761220.943910711</v>
      </c>
      <c r="F27" s="69"/>
      <c r="G27" s="20" t="s">
        <v>54</v>
      </c>
      <c r="H27" s="46">
        <v>541000</v>
      </c>
    </row>
    <row r="28" spans="1:8">
      <c r="A28" s="3">
        <v>16</v>
      </c>
      <c r="B28" s="7">
        <f t="shared" si="1"/>
        <v>21761220.943910711</v>
      </c>
      <c r="C28" s="7">
        <f t="shared" si="2"/>
        <v>739881.51209296426</v>
      </c>
      <c r="D28" s="7">
        <f t="shared" si="3"/>
        <v>1136125.95377952</v>
      </c>
      <c r="E28" s="7">
        <f t="shared" si="0"/>
        <v>20625094.990131192</v>
      </c>
      <c r="F28" s="69"/>
      <c r="G28" s="20" t="s">
        <v>55</v>
      </c>
      <c r="H28" s="46">
        <v>209000</v>
      </c>
    </row>
    <row r="29" spans="1:8">
      <c r="A29" s="3">
        <v>17</v>
      </c>
      <c r="B29" s="7">
        <f t="shared" si="1"/>
        <v>20625094.990131192</v>
      </c>
      <c r="C29" s="7">
        <f t="shared" si="2"/>
        <v>701253.22966446052</v>
      </c>
      <c r="D29" s="7">
        <f t="shared" si="3"/>
        <v>1174754.2362080237</v>
      </c>
      <c r="E29" s="7">
        <f t="shared" si="0"/>
        <v>19450340.753923167</v>
      </c>
      <c r="F29" s="69"/>
      <c r="G29" s="20" t="s">
        <v>56</v>
      </c>
      <c r="H29" s="55">
        <v>0</v>
      </c>
    </row>
    <row r="30" spans="1:8">
      <c r="A30" s="3">
        <v>18</v>
      </c>
      <c r="B30" s="7">
        <f t="shared" si="1"/>
        <v>19450340.753923167</v>
      </c>
      <c r="C30" s="7">
        <f t="shared" si="2"/>
        <v>661311.58563338767</v>
      </c>
      <c r="D30" s="7">
        <f t="shared" si="3"/>
        <v>1214695.8802390965</v>
      </c>
      <c r="E30" s="7">
        <f t="shared" si="0"/>
        <v>18235644.873684071</v>
      </c>
      <c r="F30" s="69"/>
      <c r="G30" s="20"/>
      <c r="H30" s="46">
        <f>SUM(H24:H29)</f>
        <v>1565000</v>
      </c>
    </row>
    <row r="31" spans="1:8">
      <c r="A31" s="3">
        <v>19</v>
      </c>
      <c r="B31" s="7">
        <f t="shared" si="1"/>
        <v>18235644.873684071</v>
      </c>
      <c r="C31" s="7">
        <f t="shared" si="2"/>
        <v>620011.9257052585</v>
      </c>
      <c r="D31" s="7">
        <f t="shared" si="3"/>
        <v>1255995.5401672258</v>
      </c>
      <c r="E31" s="7">
        <f t="shared" si="0"/>
        <v>16979649.333516844</v>
      </c>
      <c r="F31" s="69"/>
      <c r="G31" s="20"/>
      <c r="H31" s="21"/>
    </row>
    <row r="32" spans="1:8">
      <c r="A32" s="3">
        <v>20</v>
      </c>
      <c r="B32" s="7">
        <f t="shared" si="1"/>
        <v>16979649.333516844</v>
      </c>
      <c r="C32" s="7">
        <f t="shared" si="2"/>
        <v>577308.07733957272</v>
      </c>
      <c r="D32" s="7">
        <f t="shared" si="3"/>
        <v>1298699.3885329114</v>
      </c>
      <c r="E32" s="7">
        <f t="shared" si="0"/>
        <v>15680949.944983933</v>
      </c>
      <c r="F32" s="69"/>
      <c r="G32" s="12" t="s">
        <v>57</v>
      </c>
      <c r="H32" s="48">
        <f>H21-H30</f>
        <v>1537000</v>
      </c>
    </row>
    <row r="33" spans="1:9">
      <c r="A33" s="3">
        <v>21</v>
      </c>
      <c r="B33" s="7">
        <f t="shared" si="1"/>
        <v>15680949.944983933</v>
      </c>
      <c r="C33" s="7">
        <f t="shared" si="2"/>
        <v>533152.29812945379</v>
      </c>
      <c r="D33" s="7">
        <f t="shared" si="3"/>
        <v>1342855.1677430305</v>
      </c>
      <c r="E33" s="7">
        <f t="shared" si="0"/>
        <v>14338094.777240902</v>
      </c>
      <c r="F33" s="69"/>
      <c r="G33" s="20"/>
      <c r="H33" s="21"/>
      <c r="I33" s="69"/>
    </row>
    <row r="34" spans="1:9">
      <c r="A34" s="3">
        <v>22</v>
      </c>
      <c r="B34" s="7">
        <f t="shared" si="1"/>
        <v>14338094.777240902</v>
      </c>
      <c r="C34" s="7">
        <f t="shared" si="2"/>
        <v>487495.22242619068</v>
      </c>
      <c r="D34" s="7">
        <f t="shared" si="3"/>
        <v>1388512.2434462935</v>
      </c>
      <c r="E34" s="7">
        <f t="shared" si="0"/>
        <v>12949582.533794608</v>
      </c>
      <c r="F34" s="69"/>
      <c r="G34" s="12" t="s">
        <v>58</v>
      </c>
      <c r="H34" s="47">
        <f>B3*B4</f>
        <v>1187960</v>
      </c>
      <c r="I34" s="69"/>
    </row>
    <row r="35" spans="1:9">
      <c r="A35" s="3">
        <v>23</v>
      </c>
      <c r="B35" s="7">
        <f t="shared" si="1"/>
        <v>12949582.533794608</v>
      </c>
      <c r="C35" s="7">
        <f t="shared" si="2"/>
        <v>440285.80614901672</v>
      </c>
      <c r="D35" s="7">
        <f t="shared" si="3"/>
        <v>1435721.6597234677</v>
      </c>
      <c r="E35" s="7">
        <f t="shared" si="0"/>
        <v>11513860.87407114</v>
      </c>
      <c r="F35" s="69"/>
      <c r="G35" s="20"/>
      <c r="H35" s="21"/>
      <c r="I35" s="69"/>
    </row>
    <row r="36" spans="1:9">
      <c r="A36" s="3">
        <v>24</v>
      </c>
      <c r="B36" s="7">
        <f t="shared" si="1"/>
        <v>11513860.87407114</v>
      </c>
      <c r="C36" s="7">
        <f t="shared" si="2"/>
        <v>391471.26971841877</v>
      </c>
      <c r="D36" s="7">
        <f t="shared" si="3"/>
        <v>1484536.1961540654</v>
      </c>
      <c r="E36" s="7">
        <f t="shared" si="0"/>
        <v>10029324.677917074</v>
      </c>
      <c r="F36" s="69"/>
      <c r="G36" s="12" t="s">
        <v>59</v>
      </c>
      <c r="H36" s="48">
        <f>H32-H34</f>
        <v>349040</v>
      </c>
      <c r="I36" s="69"/>
    </row>
    <row r="37" spans="1:9">
      <c r="A37" s="3">
        <v>25</v>
      </c>
      <c r="B37" s="7">
        <f t="shared" si="1"/>
        <v>10029324.677917074</v>
      </c>
      <c r="C37" s="7">
        <f t="shared" si="2"/>
        <v>340997.03904918057</v>
      </c>
      <c r="D37" s="7">
        <f t="shared" si="3"/>
        <v>1535010.4268233036</v>
      </c>
      <c r="E37" s="7">
        <f t="shared" si="0"/>
        <v>8494314.2510937713</v>
      </c>
      <c r="F37" s="69"/>
      <c r="G37" s="12"/>
      <c r="H37" s="21"/>
      <c r="I37" s="69"/>
    </row>
    <row r="38" spans="1:9">
      <c r="A38" s="3">
        <v>26</v>
      </c>
      <c r="B38" s="7">
        <f t="shared" si="1"/>
        <v>8494314.2510937713</v>
      </c>
      <c r="C38" s="7">
        <f t="shared" si="2"/>
        <v>288806.68453718827</v>
      </c>
      <c r="D38" s="7">
        <f t="shared" si="3"/>
        <v>1587200.7813352961</v>
      </c>
      <c r="E38" s="7">
        <f t="shared" si="0"/>
        <v>6907113.4697584752</v>
      </c>
      <c r="F38" s="69"/>
      <c r="G38" s="12" t="s">
        <v>39</v>
      </c>
      <c r="H38" s="49">
        <f>H36</f>
        <v>349040</v>
      </c>
      <c r="I38" s="69"/>
    </row>
    <row r="39" spans="1:9">
      <c r="A39" s="3">
        <v>27</v>
      </c>
      <c r="B39" s="7">
        <f t="shared" si="1"/>
        <v>6907113.4697584752</v>
      </c>
      <c r="C39" s="7">
        <f t="shared" si="2"/>
        <v>234841.85797178818</v>
      </c>
      <c r="D39" s="7">
        <f t="shared" si="3"/>
        <v>1641165.6079006961</v>
      </c>
      <c r="E39" s="7">
        <f t="shared" si="0"/>
        <v>5265947.8618577793</v>
      </c>
      <c r="F39" s="69"/>
      <c r="G39" s="12"/>
      <c r="H39" s="21"/>
      <c r="I39" s="69"/>
    </row>
    <row r="40" spans="1:9">
      <c r="A40" s="3">
        <v>28</v>
      </c>
      <c r="B40" s="7">
        <f t="shared" si="1"/>
        <v>5265947.8618577793</v>
      </c>
      <c r="C40" s="7">
        <f t="shared" si="2"/>
        <v>179042.22730316452</v>
      </c>
      <c r="D40" s="7">
        <f t="shared" si="3"/>
        <v>1696965.2385693197</v>
      </c>
      <c r="E40" s="7">
        <f t="shared" si="0"/>
        <v>3568982.6232884596</v>
      </c>
      <c r="F40" s="69"/>
      <c r="G40" s="13" t="s">
        <v>60</v>
      </c>
      <c r="H40" s="50">
        <f>H36-H38</f>
        <v>0</v>
      </c>
      <c r="I40" s="69"/>
    </row>
    <row r="41" spans="1:9">
      <c r="A41" s="3">
        <v>29</v>
      </c>
      <c r="B41" s="7">
        <f t="shared" si="1"/>
        <v>3568982.6232884596</v>
      </c>
      <c r="C41" s="7">
        <f t="shared" si="2"/>
        <v>121345.40919180763</v>
      </c>
      <c r="D41" s="7">
        <f t="shared" si="3"/>
        <v>1754662.0566806765</v>
      </c>
      <c r="E41" s="7">
        <f t="shared" si="0"/>
        <v>1814320.5666077831</v>
      </c>
      <c r="F41" s="69"/>
      <c r="G41" s="69"/>
      <c r="H41" s="69"/>
      <c r="I41" s="69"/>
    </row>
    <row r="42" spans="1:9">
      <c r="A42" s="3">
        <v>30</v>
      </c>
      <c r="B42" s="7">
        <f t="shared" si="1"/>
        <v>1814320.5666077831</v>
      </c>
      <c r="C42" s="7">
        <f t="shared" si="2"/>
        <v>61686.899264664629</v>
      </c>
      <c r="D42" s="7">
        <f t="shared" si="3"/>
        <v>1814320.5666078196</v>
      </c>
      <c r="E42" s="7">
        <f t="shared" si="0"/>
        <v>-3.6554411053657532E-8</v>
      </c>
      <c r="F42" s="69"/>
      <c r="G42" s="68"/>
      <c r="H42" s="68"/>
      <c r="I42" s="68"/>
    </row>
    <row r="43" spans="1:9" ht="15.75">
      <c r="A43" s="69"/>
      <c r="B43" s="69"/>
      <c r="C43" s="69"/>
      <c r="D43" s="69"/>
      <c r="E43" s="69"/>
      <c r="F43" s="69"/>
      <c r="G43" s="71" t="s">
        <v>61</v>
      </c>
      <c r="H43" s="113" t="s">
        <v>62</v>
      </c>
      <c r="I43" s="114"/>
    </row>
    <row r="44" spans="1:9" ht="15" customHeight="1">
      <c r="A44" s="69"/>
      <c r="B44" s="69"/>
      <c r="C44" s="69"/>
      <c r="D44" s="69"/>
      <c r="E44" s="69"/>
      <c r="F44" s="69"/>
      <c r="G44" s="73" t="s">
        <v>77</v>
      </c>
      <c r="H44" s="76" t="s">
        <v>78</v>
      </c>
      <c r="I44" s="77"/>
    </row>
    <row r="45" spans="1:9" ht="15" customHeight="1">
      <c r="A45" s="69"/>
      <c r="B45" s="69"/>
      <c r="C45" s="69"/>
      <c r="D45" s="69"/>
      <c r="E45" s="69"/>
      <c r="F45" s="69"/>
      <c r="G45" s="74"/>
      <c r="H45" s="78" t="s">
        <v>79</v>
      </c>
      <c r="I45" s="79"/>
    </row>
    <row r="46" spans="1:9" ht="15" customHeight="1">
      <c r="A46" s="69"/>
      <c r="B46" s="69"/>
      <c r="C46" s="69"/>
      <c r="D46" s="69"/>
      <c r="E46" s="69"/>
      <c r="F46" s="69"/>
      <c r="G46" s="74"/>
      <c r="H46" s="102" t="s">
        <v>80</v>
      </c>
      <c r="I46" s="103"/>
    </row>
    <row r="47" spans="1:9" ht="15" customHeight="1">
      <c r="A47" s="69"/>
      <c r="B47" s="69"/>
      <c r="C47" s="69"/>
      <c r="D47" s="69"/>
      <c r="E47" s="69"/>
      <c r="F47" s="69"/>
      <c r="G47" s="74"/>
      <c r="H47" s="102" t="s">
        <v>81</v>
      </c>
      <c r="I47" s="103"/>
    </row>
    <row r="48" spans="1:9" ht="15" customHeight="1">
      <c r="A48" s="69"/>
      <c r="B48" s="69"/>
      <c r="C48" s="69"/>
      <c r="D48" s="69"/>
      <c r="E48" s="69"/>
      <c r="F48" s="69"/>
      <c r="G48" s="74"/>
      <c r="H48" s="102" t="s">
        <v>82</v>
      </c>
      <c r="I48" s="103"/>
    </row>
    <row r="49" spans="7:11" ht="15" customHeight="1">
      <c r="G49" s="75"/>
      <c r="H49" s="111" t="s">
        <v>83</v>
      </c>
      <c r="I49" s="112"/>
      <c r="J49" s="69"/>
      <c r="K49" s="69"/>
    </row>
    <row r="50" spans="7:11">
      <c r="G50" s="69"/>
      <c r="H50" s="70"/>
      <c r="I50" s="70"/>
      <c r="J50" s="70"/>
      <c r="K50" s="70"/>
    </row>
  </sheetData>
  <mergeCells count="7">
    <mergeCell ref="H49:I49"/>
    <mergeCell ref="G12:H12"/>
    <mergeCell ref="A1:J2"/>
    <mergeCell ref="H46:I46"/>
    <mergeCell ref="H47:I47"/>
    <mergeCell ref="H48:I48"/>
    <mergeCell ref="H43:I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Anlæg</vt:lpstr>
      <vt:lpstr>Finansieringsbehov</vt:lpstr>
      <vt:lpstr>Scenarie 1</vt:lpstr>
      <vt:lpstr>Scenarie 2</vt:lpstr>
      <vt:lpstr>Scenarie 3</vt:lpstr>
      <vt:lpstr>Scenarie 4</vt:lpstr>
      <vt:lpstr>Scenarie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Byg</dc:creator>
  <cp:lastModifiedBy>Nicolas</cp:lastModifiedBy>
  <cp:revision/>
  <dcterms:created xsi:type="dcterms:W3CDTF">2015-08-20T08:41:51Z</dcterms:created>
  <dcterms:modified xsi:type="dcterms:W3CDTF">2015-08-30T18:37:43Z</dcterms:modified>
</cp:coreProperties>
</file>